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515" windowHeight="11760" firstSheet="2" activeTab="7"/>
  </bookViews>
  <sheets>
    <sheet name="Notes to speadsheets" sheetId="1" r:id="rId1"/>
    <sheet name="Robert Smyth" sheetId="2" r:id="rId2"/>
    <sheet name="Archway House" sheetId="3" r:id="rId3"/>
    <sheet name="Summary-share offer" sheetId="4" r:id="rId4"/>
    <sheet name="Sensitivities" sheetId="5" r:id="rId5"/>
    <sheet name="£1000 investment" sheetId="6" r:id="rId6"/>
    <sheet name="IRR" sheetId="7" r:id="rId7"/>
    <sheet name="Financial Statement Forecast" sheetId="8" r:id="rId8"/>
    <sheet name="Tax Computation" sheetId="9" r:id="rId9"/>
    <sheet name="VAT" sheetId="10" r:id="rId10"/>
  </sheets>
  <externalReferences>
    <externalReference r:id="rId13"/>
    <externalReference r:id="rId14"/>
  </externalReferences>
  <definedNames>
    <definedName name="_xlnm.Print_Area" localSheetId="7">'Financial Statement Forecast'!$A$1:$Y$111</definedName>
    <definedName name="_xlnm.Print_Titles" localSheetId="7">'Financial Statement Forecast'!$1:$5</definedName>
  </definedNames>
  <calcPr fullCalcOnLoad="1"/>
</workbook>
</file>

<file path=xl/sharedStrings.xml><?xml version="1.0" encoding="utf-8"?>
<sst xmlns="http://schemas.openxmlformats.org/spreadsheetml/2006/main" count="484" uniqueCount="246">
  <si>
    <t>kWh</t>
  </si>
  <si>
    <t>kWp</t>
  </si>
  <si>
    <t>p/kWh electricity purchase</t>
  </si>
  <si>
    <t>Annual Electricity generation</t>
  </si>
  <si>
    <t xml:space="preserve">p/kWh </t>
  </si>
  <si>
    <t>p/kWh export rate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</si>
  <si>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</si>
  <si>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</si>
  <si>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</si>
  <si>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</si>
  <si>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</si>
  <si>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</si>
  <si>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</si>
  <si>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</si>
  <si>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</si>
  <si>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</si>
  <si>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</si>
  <si>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</si>
  <si>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</si>
  <si>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</si>
  <si>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</si>
  <si>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</si>
  <si>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</si>
  <si>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</si>
  <si>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</si>
  <si>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</si>
  <si>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Inverter Replacement</t>
  </si>
  <si>
    <t>COSTS</t>
  </si>
  <si>
    <t>INCOME</t>
  </si>
  <si>
    <t>FIT Income</t>
  </si>
  <si>
    <t>Generation efficiency</t>
  </si>
  <si>
    <t>TOTAL COSTS</t>
  </si>
  <si>
    <t>TOTAL INCOME</t>
  </si>
  <si>
    <t>NET COST / INCOME</t>
  </si>
  <si>
    <t>CUMULATIVE NET COST / INCOME</t>
  </si>
  <si>
    <t>Installed cost</t>
  </si>
  <si>
    <t>Revenue from Export</t>
  </si>
  <si>
    <t>Cumulative Inflation</t>
  </si>
  <si>
    <t>Installed power</t>
  </si>
  <si>
    <t>Exported electricity</t>
  </si>
  <si>
    <t>Revenue from export</t>
  </si>
  <si>
    <t>per annum</t>
  </si>
  <si>
    <t>Annual Inflation (Electricity)</t>
  </si>
  <si>
    <t>Annual Inflation (FIT Income)</t>
  </si>
  <si>
    <t>Data and assumptions</t>
  </si>
  <si>
    <t xml:space="preserve">  </t>
  </si>
  <si>
    <r>
      <t xml:space="preserve">Insurance costs </t>
    </r>
    <r>
      <rPr>
        <sz val="10"/>
        <rFont val="Arial"/>
        <family val="2"/>
      </rPr>
      <t>includes public liability insurance and additional insured extended warranty (pro-rata per site)</t>
    </r>
  </si>
  <si>
    <r>
      <t>FIT income</t>
    </r>
    <r>
      <rPr>
        <sz val="10"/>
        <rFont val="Arial"/>
        <family val="0"/>
      </rPr>
      <t xml:space="preserve">  is index linked in line with current UK government policy</t>
    </r>
  </si>
  <si>
    <t>Installed capital cost</t>
  </si>
  <si>
    <t xml:space="preserve">Installed capital cost includes scaffolding and remote metering </t>
  </si>
  <si>
    <t>FIT income year 1</t>
  </si>
  <si>
    <t>Interest payable to members</t>
  </si>
  <si>
    <t>Annual Inflation (RPI)</t>
  </si>
  <si>
    <t>= manual input cell</t>
  </si>
  <si>
    <t>= calculated field</t>
  </si>
  <si>
    <t>Key</t>
  </si>
  <si>
    <t>Feed In Tafiff (FIT) rate</t>
  </si>
  <si>
    <t>Percentage electricity used on-site</t>
  </si>
  <si>
    <t>Income Assumptions</t>
  </si>
  <si>
    <t>Capital cost assumptions</t>
  </si>
  <si>
    <t>GBP</t>
  </si>
  <si>
    <t>Inverter Replacement %</t>
  </si>
  <si>
    <t>Electicity efficiency (% degradation per annum)</t>
  </si>
  <si>
    <t>%</t>
  </si>
  <si>
    <t>Inflated - FIT rate</t>
  </si>
  <si>
    <t>Inflated - RPI rate</t>
  </si>
  <si>
    <t>Inflated - electricity rate</t>
  </si>
  <si>
    <t>Potential Return for Members</t>
  </si>
  <si>
    <t>Profit at end of 20 years</t>
  </si>
  <si>
    <t>Captital investment recovered</t>
  </si>
  <si>
    <r>
      <t xml:space="preserve">This cost will be 100% covered by membership shares </t>
    </r>
    <r>
      <rPr>
        <b/>
        <sz val="10"/>
        <rFont val="Arial"/>
        <family val="2"/>
      </rPr>
      <t xml:space="preserve"> </t>
    </r>
  </si>
  <si>
    <r>
      <t xml:space="preserve">Capital installed cost </t>
    </r>
    <r>
      <rPr>
        <sz val="10"/>
        <rFont val="Arial"/>
        <family val="2"/>
      </rPr>
      <t xml:space="preserve">includes scaffolding, metering with remote reading functionality and excludes recoverable VAT. </t>
    </r>
  </si>
  <si>
    <t>% captital investment recovered (i.e. panels sold)</t>
  </si>
  <si>
    <t>Total available funds for capital repayment</t>
  </si>
  <si>
    <t>Interest rate payable to members</t>
  </si>
  <si>
    <t xml:space="preserve">Annual interest payable to members </t>
  </si>
  <si>
    <t>Debt OB</t>
  </si>
  <si>
    <t>Debt CB</t>
  </si>
  <si>
    <t>DEBT MODELLING</t>
  </si>
  <si>
    <t>Interest Paid</t>
  </si>
  <si>
    <t>Total debt paid</t>
  </si>
  <si>
    <t>Principle paid</t>
  </si>
  <si>
    <t>Principle Paid</t>
  </si>
  <si>
    <t>Outstanding debt year 20</t>
  </si>
  <si>
    <t>Capital repayments Yr4- Yr 20  = £11,595/17 = £682/ year</t>
  </si>
  <si>
    <t>Extras, contingency, £500 contribution to share admin costs</t>
  </si>
  <si>
    <t>of capital cost over years 9-14 (6 years)</t>
  </si>
  <si>
    <t>per year over 6 years</t>
  </si>
  <si>
    <r>
      <t>Generation efficiency</t>
    </r>
    <r>
      <rPr>
        <sz val="10"/>
        <rFont val="Arial"/>
        <family val="2"/>
      </rPr>
      <t xml:space="preserve"> assumes 0.7%  per year degradation in output in line with manufacturers' data</t>
    </r>
  </si>
  <si>
    <r>
      <t>Operational costs</t>
    </r>
    <r>
      <rPr>
        <sz val="10"/>
        <rFont val="Arial"/>
        <family val="2"/>
      </rPr>
      <t xml:space="preserve"> include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periodic minor maintenance visits for cleaning and checks. The PV panels have 10 years manufacturer's warranty.  </t>
    </r>
  </si>
  <si>
    <r>
      <rPr>
        <b/>
        <sz val="10"/>
        <rFont val="Arial"/>
        <family val="2"/>
      </rPr>
      <t>Inverter costs</t>
    </r>
    <r>
      <rPr>
        <sz val="10"/>
        <rFont val="Arial"/>
        <family val="0"/>
      </rPr>
      <t xml:space="preserve"> include inverter replacement or repair once over  a period of 20 years, typically between years 9-14. </t>
    </r>
  </si>
  <si>
    <t>Inverters carry a 5 -year manufacturers' warranty</t>
  </si>
  <si>
    <t>Inverter replacements years 9- 14 (6 years)</t>
  </si>
  <si>
    <t>FIT inflation (Retail Price Index inflation)</t>
  </si>
  <si>
    <t>Target interest rate payable to shareholders</t>
  </si>
  <si>
    <t xml:space="preserve"> Sensitivity factors</t>
  </si>
  <si>
    <t>£1000 SEIS INVESTMENT</t>
  </si>
  <si>
    <t>Summary Yrs 4-10</t>
  </si>
  <si>
    <t>Summary Yrs 11-15</t>
  </si>
  <si>
    <t>Summary Yrs 16-20</t>
  </si>
  <si>
    <t>Total     Yrs 1-20</t>
  </si>
  <si>
    <t>Interest on investment</t>
  </si>
  <si>
    <t>Capital repayment</t>
  </si>
  <si>
    <t>Income tax refund</t>
  </si>
  <si>
    <t>Total</t>
  </si>
  <si>
    <t>Cumulative</t>
  </si>
  <si>
    <t>Revenue from PPA</t>
  </si>
  <si>
    <t>Inflated - Electricity rate</t>
  </si>
  <si>
    <t>Contribution to HE  reserves/ contingency</t>
  </si>
  <si>
    <t>Cumulative electricity value to PPA</t>
  </si>
  <si>
    <t>Electricity value to PPA</t>
  </si>
  <si>
    <r>
      <t>Annual electricity generation</t>
    </r>
    <r>
      <rPr>
        <sz val="10"/>
        <rFont val="Arial"/>
        <family val="0"/>
      </rPr>
      <t xml:space="preserve"> is customised for Market harborough based on information in individual quotes for the specific roof in this offer</t>
    </r>
  </si>
  <si>
    <t>kWh per kWp - gleaned from the quotation</t>
  </si>
  <si>
    <t>Insurance, including directors liability (inflated 2.5%)</t>
  </si>
  <si>
    <t>Harborough Solar One</t>
  </si>
  <si>
    <r>
      <t>Project additional  costs</t>
    </r>
    <r>
      <rPr>
        <sz val="10"/>
        <rFont val="Arial"/>
        <family val="0"/>
      </rPr>
      <t xml:space="preserve">  to be financed through the share offer inclusions to be added in here</t>
    </r>
  </si>
  <si>
    <t>Percentage electricity used on site is estimated at 90% for Pentair based on data from existing electricity consumption</t>
  </si>
  <si>
    <t>Electricity cost saving is based on avoided imports @ current electricity purchase price for Pentair of 12p</t>
  </si>
  <si>
    <t xml:space="preserve">Robert Smyth PV </t>
  </si>
  <si>
    <t>IRR</t>
  </si>
  <si>
    <t>IRR inc SEIS</t>
  </si>
  <si>
    <t xml:space="preserve">AER - Interest </t>
  </si>
  <si>
    <t>Electricity cost saving for Archway/PPA</t>
  </si>
  <si>
    <t xml:space="preserve">Archway PV </t>
  </si>
  <si>
    <t>Electricity cost saving for Robert Smyth/PPA</t>
  </si>
  <si>
    <t>IRR with SEIS</t>
  </si>
  <si>
    <t>Operational costs including accountancy - 25% of TOTAL INCOME</t>
  </si>
  <si>
    <t>Construction VAT recovery</t>
  </si>
  <si>
    <t>Inflated - Export rate</t>
  </si>
  <si>
    <t>Inflated export rate</t>
  </si>
  <si>
    <t>Development Costs</t>
  </si>
  <si>
    <t>Development costs</t>
  </si>
  <si>
    <t>Income</t>
  </si>
  <si>
    <t>Feed in Tariff</t>
  </si>
  <si>
    <t>Year</t>
  </si>
  <si>
    <t>Export Electricity sales</t>
  </si>
  <si>
    <t>Power Purchased on site</t>
  </si>
  <si>
    <t>Total Income</t>
  </si>
  <si>
    <t>Expenditure</t>
  </si>
  <si>
    <t>Total Expenditure</t>
  </si>
  <si>
    <t>Cash movements</t>
  </si>
  <si>
    <t>Net income generated through operations</t>
  </si>
  <si>
    <t>Community benefit fund generated</t>
  </si>
  <si>
    <t>Cashflow</t>
  </si>
  <si>
    <t>Operations, maintenance, insurance, inverter replacement and admin</t>
  </si>
  <si>
    <t>Closing Cash</t>
  </si>
  <si>
    <t>Opening Cash</t>
  </si>
  <si>
    <t>Surplus available</t>
  </si>
  <si>
    <t>Surplus available through operations</t>
  </si>
  <si>
    <t xml:space="preserve">Operational costs including accountancy - 25% of TOTAL INCOME (minus VAT recovery) line </t>
  </si>
  <si>
    <t>Total return to investors - interest</t>
  </si>
  <si>
    <t>Total return to investors - capital</t>
  </si>
  <si>
    <t>Total share capital raised</t>
  </si>
  <si>
    <t>Total Community fund generated</t>
  </si>
  <si>
    <t>Operating expenses</t>
  </si>
  <si>
    <t>Operating profit</t>
  </si>
  <si>
    <t>Profit after capital repayment</t>
  </si>
  <si>
    <t>Member interest payments</t>
  </si>
  <si>
    <t>Closing cash</t>
  </si>
  <si>
    <t>Year 0</t>
  </si>
  <si>
    <t>Dates</t>
  </si>
  <si>
    <t>Dec 2015-Dec 2016</t>
  </si>
  <si>
    <t>Years 6 - 10</t>
  </si>
  <si>
    <t>Years 11 - 20</t>
  </si>
  <si>
    <t>Notes - There is a year zero in these financial projections because the first interest payment to members will follow the first AGM which follows the first year of accounts - this payment will come in Year 1.</t>
  </si>
  <si>
    <t>Summary for Share offer document</t>
  </si>
  <si>
    <t>Community Benefit Fund</t>
  </si>
  <si>
    <t>Capital repayment (17 years at £10800)</t>
  </si>
  <si>
    <t>Summary document</t>
  </si>
  <si>
    <t>Harborough Solar 1</t>
  </si>
  <si>
    <t>Financial Statement Forecast</t>
  </si>
  <si>
    <t>Profit &amp; Loss Statement</t>
  </si>
  <si>
    <t>Robert Smyth</t>
  </si>
  <si>
    <t>Total Robert Smyth Income</t>
  </si>
  <si>
    <t>Archway House</t>
  </si>
  <si>
    <t>Total Archway House Income</t>
  </si>
  <si>
    <t>Operational Costs (25% of Income)</t>
  </si>
  <si>
    <t>Insurance (2.5% Inflation)</t>
  </si>
  <si>
    <t>Inverter Replacements (Years 8 to 12)</t>
  </si>
  <si>
    <t>Depreciation</t>
  </si>
  <si>
    <t>Operational Expenditure</t>
  </si>
  <si>
    <t>Total Robert Smyth Operational Expenditure</t>
  </si>
  <si>
    <t>Total Archway House Operational Costs</t>
  </si>
  <si>
    <t>EBITDA</t>
  </si>
  <si>
    <t>Total Operational Expenditure</t>
  </si>
  <si>
    <t>Total Depreciation</t>
  </si>
  <si>
    <t>Export Electricity Sales</t>
  </si>
  <si>
    <t>Power Sales on Site</t>
  </si>
  <si>
    <t>EBIT</t>
  </si>
  <si>
    <t>Interest Payable on Investment</t>
  </si>
  <si>
    <t>Robert Smyth Interest Payable (5.0%)</t>
  </si>
  <si>
    <t>Archway House Interest Payable (5.0%)</t>
  </si>
  <si>
    <t>Total Interest Payable on Investment</t>
  </si>
  <si>
    <t>Profit Before Tax</t>
  </si>
  <si>
    <t>Corporation Tax</t>
  </si>
  <si>
    <t>Corporation Tax Computation</t>
  </si>
  <si>
    <t>Disallowable Depreciation</t>
  </si>
  <si>
    <t>Taxable Profit</t>
  </si>
  <si>
    <t>Capital Allowances</t>
  </si>
  <si>
    <t>Annual Investment Allowance</t>
  </si>
  <si>
    <t>Robert Smyth P&amp;M</t>
  </si>
  <si>
    <t>Archway House P&amp;M</t>
  </si>
  <si>
    <t>Total Annual Investment Allowance</t>
  </si>
  <si>
    <t>Taxable Profit Less AIA</t>
  </si>
  <si>
    <t>Loss Carried Forward</t>
  </si>
  <si>
    <t>Operating Profit</t>
  </si>
  <si>
    <t>Taxable Operating Profit</t>
  </si>
  <si>
    <t>Profit After Tax</t>
  </si>
  <si>
    <t>Balance Sheet</t>
  </si>
  <si>
    <t>Fixed Assets</t>
  </si>
  <si>
    <t>Gross Cost</t>
  </si>
  <si>
    <t>Net Book Value</t>
  </si>
  <si>
    <t>Current Assets</t>
  </si>
  <si>
    <t>Bank</t>
  </si>
  <si>
    <t>Total Current Assets</t>
  </si>
  <si>
    <t>Liabilities</t>
  </si>
  <si>
    <t>Robert Smyth Depreciation (20 years straight-line)</t>
  </si>
  <si>
    <t>Archway House Depreciation (20 years straight-line)</t>
  </si>
  <si>
    <t>Total Liabilities</t>
  </si>
  <si>
    <t>Net Assets</t>
  </si>
  <si>
    <t>Equity</t>
  </si>
  <si>
    <t>Total Equity</t>
  </si>
  <si>
    <t>Profit &amp; Loss Reserve</t>
  </si>
  <si>
    <t>Checksum</t>
  </si>
  <si>
    <t>VAT</t>
  </si>
  <si>
    <t>Input Tax</t>
  </si>
  <si>
    <t>RS - Power Sales on Site</t>
  </si>
  <si>
    <t>AH - Power Sales on Site</t>
  </si>
  <si>
    <t>Final Quarter</t>
  </si>
  <si>
    <t>Input Tax Payable</t>
  </si>
  <si>
    <t>Output Tax</t>
  </si>
  <si>
    <t>RS - Operational Costs</t>
  </si>
  <si>
    <t>RS - Development Costs</t>
  </si>
  <si>
    <t>AH - Operational Costs</t>
  </si>
  <si>
    <t>AH - Inverter Replacements</t>
  </si>
  <si>
    <t>AH - Development Costs</t>
  </si>
  <si>
    <t>Output Tax Recoverable</t>
  </si>
  <si>
    <t>Asset/(Liability)</t>
  </si>
  <si>
    <t>Tax</t>
  </si>
  <si>
    <t>Profit after tax</t>
  </si>
  <si>
    <t>Annual balance</t>
  </si>
  <si>
    <t xml:space="preserve">Member capital repayment </t>
  </si>
  <si>
    <t>Member interest payment</t>
  </si>
  <si>
    <t>Shareholders Equity</t>
  </si>
  <si>
    <t>Inverter Replacements</t>
  </si>
  <si>
    <t>Year 21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</si>
</sst>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£&quot;#,##0.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£&quot;#,##0.0"/>
    <numFmt numFmtId="189" formatCode="&quot;£&quot;#,##0"/>
    <numFmt numFmtId="190" formatCode="0.0%"/>
    <numFmt numFmtId="191" formatCode="0.0000000"/>
    <numFmt numFmtId="192" formatCode="_(* #,##0.0_);_(* \(#,##0.0\);_(* &quot;-&quot;??_);_(@_)"/>
    <numFmt numFmtId="193" formatCode="_(* #,##0_);_(* \(#,##0\);_(* &quot;-&quot;??_);_(@_)"/>
    <numFmt numFmtId="194" formatCode="&quot;£&quot;#,##0.0;[Red]\-&quot;£&quot;#,##0.0"/>
    <numFmt numFmtId="195" formatCode="0_ ;[Red]\-0\ "/>
    <numFmt numFmtId="196" formatCode="0.0_ ;[Red]\-0.0\ "/>
    <numFmt numFmtId="197" formatCode="0.000%"/>
    <numFmt numFmtId="198" formatCode="0.0000%"/>
    <numFmt numFmtId="199" formatCode="0.00000%"/>
    <numFmt numFmtId="200" formatCode="0.00_ ;[Red]\-0.00\ "/>
    <numFmt numFmtId="201" formatCode="#,##0_ ;[Red]\-#,##0\ "/>
    <numFmt numFmtId="202" formatCode="[$-809]dd\ mmmm\ yyyy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u val="single"/>
      <sz val="10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190" fontId="0" fillId="0" borderId="0" xfId="0" applyNumberFormat="1" applyAlignment="1">
      <alignment/>
    </xf>
    <xf numFmtId="3" fontId="0" fillId="32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6" fontId="0" fillId="33" borderId="11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32" borderId="12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3" fontId="0" fillId="32" borderId="0" xfId="0" applyNumberFormat="1" applyFill="1" applyBorder="1" applyAlignment="1">
      <alignment/>
    </xf>
    <xf numFmtId="3" fontId="2" fillId="32" borderId="13" xfId="0" applyNumberFormat="1" applyFont="1" applyFill="1" applyBorder="1" applyAlignment="1">
      <alignment/>
    </xf>
    <xf numFmtId="0" fontId="3" fillId="32" borderId="14" xfId="0" applyFont="1" applyFill="1" applyBorder="1" applyAlignment="1">
      <alignment horizontal="left"/>
    </xf>
    <xf numFmtId="0" fontId="0" fillId="32" borderId="15" xfId="0" applyFill="1" applyBorder="1" applyAlignment="1">
      <alignment/>
    </xf>
    <xf numFmtId="3" fontId="0" fillId="32" borderId="15" xfId="0" applyNumberFormat="1" applyFill="1" applyBorder="1" applyAlignment="1">
      <alignment/>
    </xf>
    <xf numFmtId="0" fontId="3" fillId="32" borderId="15" xfId="0" applyFont="1" applyFill="1" applyBorder="1" applyAlignment="1">
      <alignment horizontal="left"/>
    </xf>
    <xf numFmtId="0" fontId="2" fillId="32" borderId="16" xfId="0" applyFont="1" applyFill="1" applyBorder="1" applyAlignment="1">
      <alignment/>
    </xf>
    <xf numFmtId="10" fontId="0" fillId="0" borderId="0" xfId="0" applyNumberFormat="1" applyAlignment="1">
      <alignment/>
    </xf>
    <xf numFmtId="38" fontId="0" fillId="33" borderId="11" xfId="0" applyNumberFormat="1" applyFill="1" applyBorder="1" applyAlignment="1">
      <alignment/>
    </xf>
    <xf numFmtId="196" fontId="0" fillId="0" borderId="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3" fontId="0" fillId="32" borderId="0" xfId="0" applyNumberForma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96" fontId="0" fillId="33" borderId="17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6" fontId="2" fillId="0" borderId="11" xfId="0" applyNumberFormat="1" applyFont="1" applyBorder="1" applyAlignment="1">
      <alignment/>
    </xf>
    <xf numFmtId="6" fontId="0" fillId="0" borderId="11" xfId="0" applyNumberFormat="1" applyFont="1" applyFill="1" applyBorder="1" applyAlignment="1">
      <alignment/>
    </xf>
    <xf numFmtId="6" fontId="0" fillId="0" borderId="11" xfId="0" applyNumberFormat="1" applyBorder="1" applyAlignment="1">
      <alignment/>
    </xf>
    <xf numFmtId="0" fontId="0" fillId="0" borderId="0" xfId="0" applyFont="1" applyAlignment="1">
      <alignment horizontal="left"/>
    </xf>
    <xf numFmtId="3" fontId="0" fillId="32" borderId="18" xfId="0" applyNumberFormat="1" applyFill="1" applyBorder="1" applyAlignment="1">
      <alignment/>
    </xf>
    <xf numFmtId="0" fontId="0" fillId="32" borderId="19" xfId="0" applyFill="1" applyBorder="1" applyAlignment="1">
      <alignment/>
    </xf>
    <xf numFmtId="3" fontId="0" fillId="32" borderId="19" xfId="0" applyNumberForma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200" fontId="0" fillId="33" borderId="11" xfId="0" applyNumberFormat="1" applyFill="1" applyBorder="1" applyAlignment="1">
      <alignment/>
    </xf>
    <xf numFmtId="200" fontId="0" fillId="33" borderId="17" xfId="0" applyNumberFormat="1" applyFill="1" applyBorder="1" applyAlignment="1">
      <alignment/>
    </xf>
    <xf numFmtId="10" fontId="0" fillId="34" borderId="0" xfId="0" applyNumberFormat="1" applyFill="1" applyAlignment="1">
      <alignment/>
    </xf>
    <xf numFmtId="0" fontId="0" fillId="34" borderId="0" xfId="0" applyFill="1" applyAlignment="1">
      <alignment/>
    </xf>
    <xf numFmtId="6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3" fontId="49" fillId="32" borderId="15" xfId="0" applyNumberFormat="1" applyFont="1" applyFill="1" applyBorder="1" applyAlignment="1">
      <alignment/>
    </xf>
    <xf numFmtId="3" fontId="49" fillId="32" borderId="0" xfId="0" applyNumberFormat="1" applyFont="1" applyFill="1" applyBorder="1" applyAlignment="1">
      <alignment/>
    </xf>
    <xf numFmtId="6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182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3" fontId="0" fillId="0" borderId="20" xfId="0" applyNumberFormat="1" applyBorder="1" applyAlignment="1">
      <alignment/>
    </xf>
    <xf numFmtId="0" fontId="2" fillId="0" borderId="0" xfId="0" applyFont="1" applyAlignment="1">
      <alignment horizontal="center"/>
    </xf>
    <xf numFmtId="3" fontId="0" fillId="32" borderId="15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Alignment="1">
      <alignment/>
    </xf>
    <xf numFmtId="0" fontId="49" fillId="35" borderId="0" xfId="0" applyFont="1" applyFill="1" applyAlignment="1">
      <alignment/>
    </xf>
    <xf numFmtId="189" fontId="0" fillId="0" borderId="0" xfId="46" applyNumberFormat="1" applyFont="1" applyAlignment="1">
      <alignment/>
    </xf>
    <xf numFmtId="189" fontId="0" fillId="0" borderId="11" xfId="46" applyNumberFormat="1" applyFont="1" applyBorder="1" applyAlignment="1">
      <alignment/>
    </xf>
    <xf numFmtId="9" fontId="0" fillId="33" borderId="11" xfId="61" applyFont="1" applyFill="1" applyBorder="1" applyAlignment="1">
      <alignment/>
    </xf>
    <xf numFmtId="189" fontId="0" fillId="0" borderId="14" xfId="46" applyNumberFormat="1" applyFont="1" applyBorder="1" applyAlignment="1">
      <alignment/>
    </xf>
    <xf numFmtId="189" fontId="0" fillId="0" borderId="16" xfId="46" applyNumberFormat="1" applyFont="1" applyBorder="1" applyAlignment="1">
      <alignment/>
    </xf>
    <xf numFmtId="190" fontId="0" fillId="33" borderId="11" xfId="61" applyNumberFormat="1" applyFont="1" applyFill="1" applyBorder="1" applyAlignment="1">
      <alignment/>
    </xf>
    <xf numFmtId="190" fontId="0" fillId="33" borderId="11" xfId="61" applyNumberFormat="1" applyFill="1" applyBorder="1" applyAlignment="1">
      <alignment/>
    </xf>
    <xf numFmtId="189" fontId="0" fillId="32" borderId="11" xfId="46" applyNumberFormat="1" applyFont="1" applyFill="1" applyBorder="1" applyAlignment="1">
      <alignment/>
    </xf>
    <xf numFmtId="189" fontId="0" fillId="32" borderId="16" xfId="46" applyNumberFormat="1" applyFont="1" applyFill="1" applyBorder="1" applyAlignment="1">
      <alignment/>
    </xf>
    <xf numFmtId="189" fontId="2" fillId="32" borderId="11" xfId="46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6" fontId="0" fillId="0" borderId="20" xfId="0" applyNumberFormat="1" applyFill="1" applyBorder="1" applyAlignment="1">
      <alignment/>
    </xf>
    <xf numFmtId="189" fontId="0" fillId="0" borderId="20" xfId="0" applyNumberFormat="1" applyFill="1" applyBorder="1" applyAlignment="1">
      <alignment/>
    </xf>
    <xf numFmtId="6" fontId="2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8" fontId="0" fillId="0" borderId="0" xfId="0" applyNumberFormat="1" applyBorder="1" applyAlignment="1">
      <alignment/>
    </xf>
    <xf numFmtId="0" fontId="0" fillId="36" borderId="20" xfId="0" applyFont="1" applyFill="1" applyBorder="1" applyAlignment="1">
      <alignment/>
    </xf>
    <xf numFmtId="6" fontId="0" fillId="36" borderId="20" xfId="0" applyNumberFormat="1" applyFill="1" applyBorder="1" applyAlignment="1">
      <alignment/>
    </xf>
    <xf numFmtId="6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2" fillId="36" borderId="20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01" fontId="0" fillId="0" borderId="0" xfId="0" applyNumberFormat="1" applyAlignment="1">
      <alignment/>
    </xf>
    <xf numFmtId="201" fontId="0" fillId="0" borderId="0" xfId="0" applyNumberFormat="1" applyAlignment="1">
      <alignment horizontal="center"/>
    </xf>
    <xf numFmtId="201" fontId="2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201" fontId="0" fillId="0" borderId="0" xfId="0" applyNumberFormat="1" applyFill="1" applyAlignment="1">
      <alignment/>
    </xf>
    <xf numFmtId="3" fontId="0" fillId="32" borderId="15" xfId="0" applyNumberFormat="1" applyFont="1" applyFill="1" applyBorder="1" applyAlignment="1">
      <alignment horizontal="center" vertical="center" wrapText="1"/>
    </xf>
    <xf numFmtId="3" fontId="0" fillId="32" borderId="21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3\Documents\SH%20delivery\PROJECTS\Community%20Owned%20Energy\7%20Robert%20Smyth%20Academy\Business%20Plan\Robert%20Smyth%20case%20+%20summary%20for%20share%20offer%20160k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3\Documents\SH%20delivery\PROJECTS\Community%20Owned%20Energy\8.%20Archway%20House\Archway%20alone%2016k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to speadsheets"/>
      <sheetName val="Robert Smyth"/>
      <sheetName val="Summary-share offer"/>
      <sheetName val="Sensitivities"/>
      <sheetName val="£1000 investment"/>
    </sheetNames>
    <sheetDataSet>
      <sheetData sheetId="3">
        <row r="3">
          <cell r="B3">
            <v>0.025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to speadsheets"/>
      <sheetName val="Archway House"/>
      <sheetName val="Summary-share offer"/>
      <sheetName val="Sensitivities"/>
      <sheetName val="£1000 investment"/>
    </sheetNames>
    <sheetDataSet>
      <sheetData sheetId="3">
        <row r="3">
          <cell r="B3">
            <v>0.025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A20" sqref="A20"/>
    </sheetView>
  </sheetViews>
  <sheetFormatPr defaultColWidth="9.140625" defaultRowHeight="12.75"/>
  <sheetData>
    <row r="2" spans="1:9" ht="15.75">
      <c r="A2" s="29" t="s">
        <v>114</v>
      </c>
      <c r="B2" s="30"/>
      <c r="C2" s="30"/>
      <c r="D2" s="30"/>
      <c r="E2" s="30"/>
      <c r="F2" s="30"/>
      <c r="G2" s="30"/>
      <c r="H2" s="30"/>
      <c r="I2" s="30"/>
    </row>
    <row r="5" ht="12.75">
      <c r="A5" s="1" t="s">
        <v>44</v>
      </c>
    </row>
    <row r="7" ht="12.75">
      <c r="A7" t="s">
        <v>45</v>
      </c>
    </row>
    <row r="8" spans="1:2" ht="12.75">
      <c r="A8" s="1" t="s">
        <v>71</v>
      </c>
      <c r="B8" s="1"/>
    </row>
    <row r="9" spans="1:2" ht="12.75">
      <c r="A9" s="3" t="s">
        <v>70</v>
      </c>
      <c r="B9" s="1"/>
    </row>
    <row r="11" ht="12.75">
      <c r="A11" s="1" t="s">
        <v>115</v>
      </c>
    </row>
    <row r="12" ht="12.75">
      <c r="A12" s="3"/>
    </row>
    <row r="14" ht="12.75">
      <c r="A14" s="1" t="s">
        <v>111</v>
      </c>
    </row>
    <row r="16" ht="12.75">
      <c r="A16" s="1" t="s">
        <v>116</v>
      </c>
    </row>
    <row r="17" ht="12.75">
      <c r="A17" s="3"/>
    </row>
    <row r="19" ht="12.75">
      <c r="A19" s="1" t="s">
        <v>117</v>
      </c>
    </row>
    <row r="22" ht="12.75">
      <c r="A22" s="1" t="s">
        <v>46</v>
      </c>
    </row>
    <row r="24" ht="12.75">
      <c r="A24" s="1" t="s">
        <v>89</v>
      </c>
    </row>
    <row r="25" ht="12.75">
      <c r="A25" s="1"/>
    </row>
    <row r="26" ht="12.75">
      <c r="A26" s="3" t="s">
        <v>90</v>
      </c>
    </row>
    <row r="27" ht="12.75">
      <c r="A27" t="s">
        <v>91</v>
      </c>
    </row>
    <row r="29" ht="12.75">
      <c r="A29" s="1" t="s">
        <v>47</v>
      </c>
    </row>
    <row r="30" spans="2:7" ht="12.75">
      <c r="B30" s="3"/>
      <c r="C30" s="3"/>
      <c r="D30" s="3"/>
      <c r="E30" s="3"/>
      <c r="F30" s="3"/>
      <c r="G30" s="3"/>
    </row>
    <row r="31" ht="12.75">
      <c r="A31" s="1" t="s">
        <v>88</v>
      </c>
    </row>
    <row r="33" ht="12.75">
      <c r="A33" s="1"/>
    </row>
    <row r="39" ht="12.75">
      <c r="A39" s="1"/>
    </row>
    <row r="42" ht="12.75">
      <c r="A42" s="1"/>
    </row>
    <row r="46" ht="12.75">
      <c r="A4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4.00390625" style="105" bestFit="1" customWidth="1"/>
    <col min="2" max="16384" width="9.140625" style="105" customWidth="1"/>
  </cols>
  <sheetData>
    <row r="1" ht="12.75">
      <c r="A1" s="108" t="s">
        <v>224</v>
      </c>
    </row>
    <row r="3" spans="2:22" ht="12.75">
      <c r="B3" s="108" t="s">
        <v>159</v>
      </c>
      <c r="C3" s="108" t="s">
        <v>6</v>
      </c>
      <c r="D3" s="108" t="s">
        <v>7</v>
      </c>
      <c r="E3" s="108" t="s">
        <v>8</v>
      </c>
      <c r="F3" s="108" t="s">
        <v>9</v>
      </c>
      <c r="G3" s="108" t="s">
        <v>10</v>
      </c>
      <c r="H3" s="108" t="s">
        <v>11</v>
      </c>
      <c r="I3" s="108" t="s">
        <v>12</v>
      </c>
      <c r="J3" s="108" t="s">
        <v>13</v>
      </c>
      <c r="K3" s="108" t="s">
        <v>14</v>
      </c>
      <c r="L3" s="108" t="s">
        <v>15</v>
      </c>
      <c r="M3" s="108" t="s">
        <v>16</v>
      </c>
      <c r="N3" s="108" t="s">
        <v>17</v>
      </c>
      <c r="O3" s="108" t="s">
        <v>18</v>
      </c>
      <c r="P3" s="108" t="s">
        <v>19</v>
      </c>
      <c r="Q3" s="108" t="s">
        <v>20</v>
      </c>
      <c r="R3" s="108" t="s">
        <v>21</v>
      </c>
      <c r="S3" s="108" t="s">
        <v>22</v>
      </c>
      <c r="T3" s="108" t="s">
        <v>23</v>
      </c>
      <c r="U3" s="108" t="s">
        <v>24</v>
      </c>
      <c r="V3" s="108" t="s">
        <v>25</v>
      </c>
    </row>
    <row r="5" ht="12.75">
      <c r="A5" s="108" t="s">
        <v>225</v>
      </c>
    </row>
    <row r="7" spans="1:22" ht="12.75">
      <c r="A7" s="108" t="s">
        <v>226</v>
      </c>
      <c r="B7" s="105">
        <f>+'Financial Statement Forecast'!C14</f>
        <v>0</v>
      </c>
      <c r="C7" s="105">
        <f>+'Financial Statement Forecast'!D14</f>
        <v>11456</v>
      </c>
      <c r="D7" s="105">
        <f>+'Financial Statement Forecast'!E14</f>
        <v>11773.961279999998</v>
      </c>
      <c r="E7" s="105">
        <f>+'Financial Statement Forecast'!F14</f>
        <v>12100.146249599999</v>
      </c>
      <c r="F7" s="105">
        <f>+'Financial Statement Forecast'!G14</f>
        <v>12434.741064503996</v>
      </c>
      <c r="G7" s="105">
        <f>+'Financial Statement Forecast'!H14</f>
        <v>12777.934837295516</v>
      </c>
      <c r="H7" s="105">
        <f>+'Financial Statement Forecast'!I14</f>
        <v>13129.919616378422</v>
      </c>
      <c r="I7" s="105">
        <f>+'Financial Statement Forecast'!J14</f>
        <v>13490.890359821447</v>
      </c>
      <c r="J7" s="105">
        <f>+'Financial Statement Forecast'!K14</f>
        <v>13861.044903775419</v>
      </c>
      <c r="K7" s="105">
        <f>+'Financial Statement Forecast'!L14</f>
        <v>14240.58392511539</v>
      </c>
      <c r="L7" s="105">
        <f>+'Financial Statement Forecast'!M14</f>
        <v>14629.71089794203</v>
      </c>
      <c r="M7" s="105">
        <f>+'Financial Statement Forecast'!N14</f>
        <v>15028.632043558273</v>
      </c>
      <c r="N7" s="105">
        <f>+'Financial Statement Forecast'!O14</f>
        <v>15437.55627351767</v>
      </c>
      <c r="O7" s="105">
        <f>+'Financial Statement Forecast'!P14</f>
        <v>15856.69512532087</v>
      </c>
      <c r="P7" s="105">
        <f>+'Financial Statement Forecast'!Q14</f>
        <v>16286.26269031523</v>
      </c>
      <c r="Q7" s="105">
        <f>+'Financial Statement Forecast'!R14</f>
        <v>16726.475533330682</v>
      </c>
      <c r="R7" s="105">
        <f>+'Financial Statement Forecast'!S14</f>
        <v>17177.552603561573</v>
      </c>
      <c r="S7" s="105">
        <f>+'Financial Statement Forecast'!T14</f>
        <v>17639.7151361803</v>
      </c>
      <c r="T7" s="105">
        <f>+'Financial Statement Forecast'!U14</f>
        <v>18113.18654414298</v>
      </c>
      <c r="U7" s="105">
        <f>+'Financial Statement Forecast'!V14</f>
        <v>18598.19229962122</v>
      </c>
      <c r="V7" s="105">
        <f>+'Financial Statement Forecast'!W14</f>
        <v>19094.959804466365</v>
      </c>
    </row>
    <row r="8" spans="1:22" ht="12.75">
      <c r="A8" s="108" t="s">
        <v>227</v>
      </c>
      <c r="B8" s="105">
        <f>+'Financial Statement Forecast'!C22</f>
        <v>0</v>
      </c>
      <c r="C8" s="105">
        <f>+'Financial Statement Forecast'!D22</f>
        <v>793.05</v>
      </c>
      <c r="D8" s="105">
        <f>+'Financial Statement Forecast'!E22</f>
        <v>815.0611027499999</v>
      </c>
      <c r="E8" s="105">
        <f>+'Financial Statement Forecast'!F22</f>
        <v>837.6414964424998</v>
      </c>
      <c r="F8" s="105">
        <f>+'Financial Statement Forecast'!G22</f>
        <v>860.8040678426061</v>
      </c>
      <c r="G8" s="105">
        <f>+'Financial Statement Forecast'!H22</f>
        <v>884.5619084075776</v>
      </c>
      <c r="H8" s="105">
        <f>+'Financial Statement Forecast'!I22</f>
        <v>908.9283128289899</v>
      </c>
      <c r="I8" s="105">
        <f>+'Financial Statement Forecast'!J22</f>
        <v>933.9167772221017</v>
      </c>
      <c r="J8" s="105">
        <f>+'Financial Statement Forecast'!K22</f>
        <v>959.540996939516</v>
      </c>
      <c r="K8" s="105">
        <f>+'Financial Statement Forecast'!L22</f>
        <v>985.8148639850523</v>
      </c>
      <c r="L8" s="105">
        <f>+'Financial Statement Forecast'!M22</f>
        <v>1012.752464002525</v>
      </c>
      <c r="M8" s="105">
        <f>+'Financial Statement Forecast'!N22</f>
        <v>1040.3680728128393</v>
      </c>
      <c r="N8" s="105">
        <f>+'Financial Statement Forecast'!O22</f>
        <v>1068.6761524714723</v>
      </c>
      <c r="O8" s="105">
        <f>+'Financial Statement Forecast'!P22</f>
        <v>1097.6913468170142</v>
      </c>
      <c r="P8" s="105">
        <f>+'Financial Statement Forecast'!Q22</f>
        <v>1127.4284764799663</v>
      </c>
      <c r="Q8" s="105">
        <f>+'Financial Statement Forecast'!R22</f>
        <v>1157.902533319474</v>
      </c>
      <c r="R8" s="105">
        <f>+'Financial Statement Forecast'!S22</f>
        <v>1189.1286742540594</v>
      </c>
      <c r="S8" s="105">
        <f>+'Financial Statement Forecast'!T22</f>
        <v>1221.1222144507494</v>
      </c>
      <c r="T8" s="105">
        <f>+'Financial Statement Forecast'!U22</f>
        <v>1253.8986198352468</v>
      </c>
      <c r="U8" s="105">
        <f>+'Financial Statement Forecast'!V22</f>
        <v>1287.4734988839566</v>
      </c>
      <c r="V8" s="105">
        <f>+'Financial Statement Forecast'!W22</f>
        <v>1321.862593656778</v>
      </c>
    </row>
    <row r="10" spans="1:22" ht="12.75">
      <c r="A10" s="108" t="s">
        <v>104</v>
      </c>
      <c r="B10" s="105">
        <f>SUM(B7:B9)</f>
        <v>0</v>
      </c>
      <c r="C10" s="105">
        <f aca="true" t="shared" si="0" ref="C10:V10">SUM(C7:C9)</f>
        <v>12249.05</v>
      </c>
      <c r="D10" s="105">
        <f t="shared" si="0"/>
        <v>12589.022382749998</v>
      </c>
      <c r="E10" s="105">
        <f t="shared" si="0"/>
        <v>12937.787746042499</v>
      </c>
      <c r="F10" s="105">
        <f t="shared" si="0"/>
        <v>13295.545132346602</v>
      </c>
      <c r="G10" s="105">
        <f t="shared" si="0"/>
        <v>13662.496745703093</v>
      </c>
      <c r="H10" s="105">
        <f t="shared" si="0"/>
        <v>14038.847929207412</v>
      </c>
      <c r="I10" s="105">
        <f t="shared" si="0"/>
        <v>14424.80713704355</v>
      </c>
      <c r="J10" s="105">
        <f t="shared" si="0"/>
        <v>14820.585900714936</v>
      </c>
      <c r="K10" s="105">
        <f t="shared" si="0"/>
        <v>15226.398789100442</v>
      </c>
      <c r="L10" s="105">
        <f t="shared" si="0"/>
        <v>15642.463361944556</v>
      </c>
      <c r="M10" s="105">
        <f t="shared" si="0"/>
        <v>16069.000116371113</v>
      </c>
      <c r="N10" s="105">
        <f t="shared" si="0"/>
        <v>16506.232425989143</v>
      </c>
      <c r="O10" s="105">
        <f t="shared" si="0"/>
        <v>16954.386472137885</v>
      </c>
      <c r="P10" s="105">
        <f t="shared" si="0"/>
        <v>17413.691166795197</v>
      </c>
      <c r="Q10" s="105">
        <f t="shared" si="0"/>
        <v>17884.378066650155</v>
      </c>
      <c r="R10" s="105">
        <f t="shared" si="0"/>
        <v>18366.68127781563</v>
      </c>
      <c r="S10" s="105">
        <f t="shared" si="0"/>
        <v>18860.83735063105</v>
      </c>
      <c r="T10" s="105">
        <f t="shared" si="0"/>
        <v>19367.085163978227</v>
      </c>
      <c r="U10" s="105">
        <f t="shared" si="0"/>
        <v>19885.665798505175</v>
      </c>
      <c r="V10" s="105">
        <f t="shared" si="0"/>
        <v>20416.822398123142</v>
      </c>
    </row>
    <row r="12" spans="1:22" ht="12.75">
      <c r="A12" s="108" t="s">
        <v>228</v>
      </c>
      <c r="B12" s="105">
        <f>ROUND(B10/4,0)</f>
        <v>0</v>
      </c>
      <c r="C12" s="105">
        <f aca="true" t="shared" si="1" ref="C12:V12">ROUND(C10/4,0)</f>
        <v>3062</v>
      </c>
      <c r="D12" s="105">
        <f t="shared" si="1"/>
        <v>3147</v>
      </c>
      <c r="E12" s="105">
        <f t="shared" si="1"/>
        <v>3234</v>
      </c>
      <c r="F12" s="105">
        <f t="shared" si="1"/>
        <v>3324</v>
      </c>
      <c r="G12" s="105">
        <f t="shared" si="1"/>
        <v>3416</v>
      </c>
      <c r="H12" s="105">
        <f t="shared" si="1"/>
        <v>3510</v>
      </c>
      <c r="I12" s="105">
        <f t="shared" si="1"/>
        <v>3606</v>
      </c>
      <c r="J12" s="105">
        <f t="shared" si="1"/>
        <v>3705</v>
      </c>
      <c r="K12" s="105">
        <f t="shared" si="1"/>
        <v>3807</v>
      </c>
      <c r="L12" s="105">
        <f t="shared" si="1"/>
        <v>3911</v>
      </c>
      <c r="M12" s="105">
        <f t="shared" si="1"/>
        <v>4017</v>
      </c>
      <c r="N12" s="105">
        <f t="shared" si="1"/>
        <v>4127</v>
      </c>
      <c r="O12" s="105">
        <f t="shared" si="1"/>
        <v>4239</v>
      </c>
      <c r="P12" s="105">
        <f t="shared" si="1"/>
        <v>4353</v>
      </c>
      <c r="Q12" s="105">
        <f t="shared" si="1"/>
        <v>4471</v>
      </c>
      <c r="R12" s="105">
        <f t="shared" si="1"/>
        <v>4592</v>
      </c>
      <c r="S12" s="105">
        <f t="shared" si="1"/>
        <v>4715</v>
      </c>
      <c r="T12" s="105">
        <f t="shared" si="1"/>
        <v>4842</v>
      </c>
      <c r="U12" s="105">
        <f t="shared" si="1"/>
        <v>4971</v>
      </c>
      <c r="V12" s="105">
        <f t="shared" si="1"/>
        <v>5104</v>
      </c>
    </row>
    <row r="14" spans="1:22" ht="12.75">
      <c r="A14" s="108" t="s">
        <v>229</v>
      </c>
      <c r="B14" s="105">
        <f>ROUND(B12*0.2,0)</f>
        <v>0</v>
      </c>
      <c r="C14" s="105">
        <f aca="true" t="shared" si="2" ref="C14:V14">ROUND(C12*0.2,0)</f>
        <v>612</v>
      </c>
      <c r="D14" s="105">
        <f t="shared" si="2"/>
        <v>629</v>
      </c>
      <c r="E14" s="105">
        <f t="shared" si="2"/>
        <v>647</v>
      </c>
      <c r="F14" s="105">
        <f t="shared" si="2"/>
        <v>665</v>
      </c>
      <c r="G14" s="105">
        <f t="shared" si="2"/>
        <v>683</v>
      </c>
      <c r="H14" s="105">
        <f t="shared" si="2"/>
        <v>702</v>
      </c>
      <c r="I14" s="105">
        <f t="shared" si="2"/>
        <v>721</v>
      </c>
      <c r="J14" s="105">
        <f t="shared" si="2"/>
        <v>741</v>
      </c>
      <c r="K14" s="105">
        <f t="shared" si="2"/>
        <v>761</v>
      </c>
      <c r="L14" s="105">
        <f t="shared" si="2"/>
        <v>782</v>
      </c>
      <c r="M14" s="105">
        <f t="shared" si="2"/>
        <v>803</v>
      </c>
      <c r="N14" s="105">
        <f t="shared" si="2"/>
        <v>825</v>
      </c>
      <c r="O14" s="105">
        <f t="shared" si="2"/>
        <v>848</v>
      </c>
      <c r="P14" s="105">
        <f t="shared" si="2"/>
        <v>871</v>
      </c>
      <c r="Q14" s="105">
        <f t="shared" si="2"/>
        <v>894</v>
      </c>
      <c r="R14" s="105">
        <f t="shared" si="2"/>
        <v>918</v>
      </c>
      <c r="S14" s="105">
        <f t="shared" si="2"/>
        <v>943</v>
      </c>
      <c r="T14" s="105">
        <f t="shared" si="2"/>
        <v>968</v>
      </c>
      <c r="U14" s="105">
        <f t="shared" si="2"/>
        <v>994</v>
      </c>
      <c r="V14" s="105">
        <f t="shared" si="2"/>
        <v>1021</v>
      </c>
    </row>
    <row r="16" ht="12.75">
      <c r="A16" s="108" t="s">
        <v>230</v>
      </c>
    </row>
    <row r="18" spans="1:22" ht="12.75">
      <c r="A18" s="108" t="s">
        <v>231</v>
      </c>
      <c r="B18" s="105">
        <f>+'Financial Statement Forecast'!C32</f>
        <v>0</v>
      </c>
      <c r="C18" s="105">
        <f>+'Financial Statement Forecast'!D32</f>
        <v>6508</v>
      </c>
      <c r="D18" s="105">
        <f>+'Financial Statement Forecast'!E32</f>
        <v>6653</v>
      </c>
      <c r="E18" s="105">
        <f>+'Financial Statement Forecast'!F32</f>
        <v>6800</v>
      </c>
      <c r="F18" s="105">
        <f>+'Financial Statement Forecast'!G32</f>
        <v>6951</v>
      </c>
      <c r="G18" s="105">
        <f>+'Financial Statement Forecast'!H32</f>
        <v>7105</v>
      </c>
      <c r="H18" s="105">
        <f>+'Financial Statement Forecast'!I32</f>
        <v>7262</v>
      </c>
      <c r="I18" s="105">
        <f>+'Financial Statement Forecast'!J32</f>
        <v>7422</v>
      </c>
      <c r="J18" s="105">
        <f>+'Financial Statement Forecast'!K32</f>
        <v>7585</v>
      </c>
      <c r="K18" s="105">
        <f>+'Financial Statement Forecast'!L32</f>
        <v>7752</v>
      </c>
      <c r="L18" s="105">
        <f>+'Financial Statement Forecast'!M32</f>
        <v>7922</v>
      </c>
      <c r="M18" s="105">
        <f>+'Financial Statement Forecast'!N32</f>
        <v>8096</v>
      </c>
      <c r="N18" s="105">
        <f>+'Financial Statement Forecast'!O32</f>
        <v>8273</v>
      </c>
      <c r="O18" s="105">
        <f>+'Financial Statement Forecast'!P32</f>
        <v>8454</v>
      </c>
      <c r="P18" s="105">
        <f>+'Financial Statement Forecast'!Q32</f>
        <v>8638</v>
      </c>
      <c r="Q18" s="105">
        <f>+'Financial Statement Forecast'!R32</f>
        <v>8826</v>
      </c>
      <c r="R18" s="105">
        <f>+'Financial Statement Forecast'!S32</f>
        <v>9018</v>
      </c>
      <c r="S18" s="105">
        <f>+'Financial Statement Forecast'!T32</f>
        <v>9214</v>
      </c>
      <c r="T18" s="105">
        <f>+'Financial Statement Forecast'!U32</f>
        <v>9414</v>
      </c>
      <c r="U18" s="105">
        <f>+'Financial Statement Forecast'!V32</f>
        <v>9617</v>
      </c>
      <c r="V18" s="105">
        <f>+'Financial Statement Forecast'!W32</f>
        <v>9825</v>
      </c>
    </row>
    <row r="19" spans="1:22" ht="12.75">
      <c r="A19" s="108" t="s">
        <v>232</v>
      </c>
      <c r="B19" s="105">
        <f>+'Financial Statement Forecast'!C34</f>
        <v>0</v>
      </c>
      <c r="C19" s="105">
        <f>+'Financial Statement Forecast'!D34</f>
        <v>19000</v>
      </c>
      <c r="D19" s="105">
        <f>+'Financial Statement Forecast'!E34</f>
        <v>0</v>
      </c>
      <c r="E19" s="105">
        <f>+'Financial Statement Forecast'!F34</f>
        <v>0</v>
      </c>
      <c r="F19" s="105">
        <f>+'Financial Statement Forecast'!G34</f>
        <v>0</v>
      </c>
      <c r="G19" s="105">
        <f>+'Financial Statement Forecast'!H34</f>
        <v>0</v>
      </c>
      <c r="H19" s="105">
        <f>+'Financial Statement Forecast'!I34</f>
        <v>0</v>
      </c>
      <c r="I19" s="105">
        <f>+'Financial Statement Forecast'!J34</f>
        <v>0</v>
      </c>
      <c r="J19" s="105">
        <f>+'Financial Statement Forecast'!K34</f>
        <v>0</v>
      </c>
      <c r="K19" s="105">
        <f>+'Financial Statement Forecast'!L34</f>
        <v>0</v>
      </c>
      <c r="L19" s="105">
        <f>+'Financial Statement Forecast'!M34</f>
        <v>0</v>
      </c>
      <c r="M19" s="105">
        <f>+'Financial Statement Forecast'!N34</f>
        <v>0</v>
      </c>
      <c r="N19" s="105">
        <f>+'Financial Statement Forecast'!O34</f>
        <v>0</v>
      </c>
      <c r="O19" s="105">
        <f>+'Financial Statement Forecast'!P34</f>
        <v>0</v>
      </c>
      <c r="P19" s="105">
        <f>+'Financial Statement Forecast'!Q34</f>
        <v>0</v>
      </c>
      <c r="Q19" s="105">
        <f>+'Financial Statement Forecast'!R34</f>
        <v>0</v>
      </c>
      <c r="R19" s="105">
        <f>+'Financial Statement Forecast'!S34</f>
        <v>0</v>
      </c>
      <c r="S19" s="105">
        <f>+'Financial Statement Forecast'!T34</f>
        <v>0</v>
      </c>
      <c r="T19" s="105">
        <f>+'Financial Statement Forecast'!U34</f>
        <v>0</v>
      </c>
      <c r="U19" s="105">
        <f>+'Financial Statement Forecast'!V34</f>
        <v>0</v>
      </c>
      <c r="V19" s="105">
        <f>+'Financial Statement Forecast'!W34</f>
        <v>0</v>
      </c>
    </row>
    <row r="20" spans="1:22" ht="12.75">
      <c r="A20" s="108" t="s">
        <v>233</v>
      </c>
      <c r="B20" s="105">
        <f>+'Financial Statement Forecast'!C40</f>
        <v>0</v>
      </c>
      <c r="C20" s="105">
        <f>+'Financial Statement Forecast'!D40</f>
        <v>527.96</v>
      </c>
      <c r="D20" s="105">
        <f>+'Financial Statement Forecast'!E40</f>
        <v>539.34</v>
      </c>
      <c r="E20" s="105">
        <f>+'Financial Statement Forecast'!F40</f>
        <v>550.95</v>
      </c>
      <c r="F20" s="105">
        <f>+'Financial Statement Forecast'!G40</f>
        <v>562.79</v>
      </c>
      <c r="G20" s="105">
        <f>+'Financial Statement Forecast'!H40</f>
        <v>574.88</v>
      </c>
      <c r="H20" s="105">
        <f>+'Financial Statement Forecast'!I40</f>
        <v>587.2</v>
      </c>
      <c r="I20" s="105">
        <f>+'Financial Statement Forecast'!J40</f>
        <v>599.77</v>
      </c>
      <c r="J20" s="105">
        <f>+'Financial Statement Forecast'!K40</f>
        <v>612.59</v>
      </c>
      <c r="K20" s="105">
        <f>+'Financial Statement Forecast'!L40</f>
        <v>625.66</v>
      </c>
      <c r="L20" s="105">
        <f>+'Financial Statement Forecast'!M40</f>
        <v>639</v>
      </c>
      <c r="M20" s="105">
        <f>+'Financial Statement Forecast'!N40</f>
        <v>652.59</v>
      </c>
      <c r="N20" s="105">
        <f>+'Financial Statement Forecast'!O40</f>
        <v>666.45</v>
      </c>
      <c r="O20" s="105">
        <f>+'Financial Statement Forecast'!P40</f>
        <v>680.58</v>
      </c>
      <c r="P20" s="105">
        <f>+'Financial Statement Forecast'!Q40</f>
        <v>694.99</v>
      </c>
      <c r="Q20" s="105">
        <f>+'Financial Statement Forecast'!R40</f>
        <v>709.68</v>
      </c>
      <c r="R20" s="105">
        <f>+'Financial Statement Forecast'!S40</f>
        <v>724.65</v>
      </c>
      <c r="S20" s="105">
        <f>+'Financial Statement Forecast'!T40</f>
        <v>739.9</v>
      </c>
      <c r="T20" s="105">
        <f>+'Financial Statement Forecast'!U40</f>
        <v>755.45</v>
      </c>
      <c r="U20" s="105">
        <f>+'Financial Statement Forecast'!V40</f>
        <v>771.29</v>
      </c>
      <c r="V20" s="105">
        <f>+'Financial Statement Forecast'!W40</f>
        <v>787.44</v>
      </c>
    </row>
    <row r="21" spans="1:22" ht="12.75">
      <c r="A21" s="108" t="s">
        <v>234</v>
      </c>
      <c r="B21" s="105">
        <f>+'Financial Statement Forecast'!C42</f>
        <v>0</v>
      </c>
      <c r="C21" s="105">
        <f>+'Financial Statement Forecast'!D42</f>
        <v>0</v>
      </c>
      <c r="D21" s="105">
        <f>+'Financial Statement Forecast'!E42</f>
        <v>0</v>
      </c>
      <c r="E21" s="105">
        <f>+'Financial Statement Forecast'!F42</f>
        <v>0</v>
      </c>
      <c r="F21" s="105">
        <f>+'Financial Statement Forecast'!G42</f>
        <v>0</v>
      </c>
      <c r="G21" s="105">
        <f>+'Financial Statement Forecast'!H42</f>
        <v>0</v>
      </c>
      <c r="H21" s="105">
        <f>+'Financial Statement Forecast'!I42</f>
        <v>0</v>
      </c>
      <c r="I21" s="105">
        <f>+'Financial Statement Forecast'!J42</f>
        <v>0</v>
      </c>
      <c r="J21" s="105">
        <f>+'Financial Statement Forecast'!K42</f>
        <v>220</v>
      </c>
      <c r="K21" s="105">
        <f>+'Financial Statement Forecast'!L42</f>
        <v>220</v>
      </c>
      <c r="L21" s="105">
        <f>+'Financial Statement Forecast'!M42</f>
        <v>220</v>
      </c>
      <c r="M21" s="105">
        <f>+'Financial Statement Forecast'!N42</f>
        <v>220</v>
      </c>
      <c r="N21" s="105">
        <f>+'Financial Statement Forecast'!O42</f>
        <v>220</v>
      </c>
      <c r="O21" s="105">
        <f>+'Financial Statement Forecast'!P42</f>
        <v>220</v>
      </c>
      <c r="P21" s="105">
        <f>+'Financial Statement Forecast'!Q42</f>
        <v>0</v>
      </c>
      <c r="Q21" s="105">
        <f>+'Financial Statement Forecast'!R42</f>
        <v>0</v>
      </c>
      <c r="R21" s="105">
        <f>+'Financial Statement Forecast'!S42</f>
        <v>0</v>
      </c>
      <c r="S21" s="105">
        <f>+'Financial Statement Forecast'!T42</f>
        <v>0</v>
      </c>
      <c r="T21" s="105">
        <f>+'Financial Statement Forecast'!U42</f>
        <v>0</v>
      </c>
      <c r="U21" s="105">
        <f>+'Financial Statement Forecast'!V42</f>
        <v>0</v>
      </c>
      <c r="V21" s="105">
        <f>+'Financial Statement Forecast'!W42</f>
        <v>0</v>
      </c>
    </row>
    <row r="22" spans="1:22" ht="12.75">
      <c r="A22" s="108" t="s">
        <v>235</v>
      </c>
      <c r="B22" s="105">
        <f>+'Financial Statement Forecast'!C43</f>
        <v>0</v>
      </c>
      <c r="C22" s="105">
        <f>+'Financial Statement Forecast'!D43</f>
        <v>1000</v>
      </c>
      <c r="D22" s="105">
        <f>+'Financial Statement Forecast'!E43</f>
        <v>0</v>
      </c>
      <c r="E22" s="105">
        <f>+'Financial Statement Forecast'!F43</f>
        <v>0</v>
      </c>
      <c r="F22" s="105">
        <f>+'Financial Statement Forecast'!G43</f>
        <v>0</v>
      </c>
      <c r="G22" s="105">
        <f>+'Financial Statement Forecast'!H43</f>
        <v>0</v>
      </c>
      <c r="H22" s="105">
        <f>+'Financial Statement Forecast'!I43</f>
        <v>0</v>
      </c>
      <c r="I22" s="105">
        <f>+'Financial Statement Forecast'!J43</f>
        <v>0</v>
      </c>
      <c r="J22" s="105">
        <f>+'Financial Statement Forecast'!K43</f>
        <v>0</v>
      </c>
      <c r="K22" s="105">
        <f>+'Financial Statement Forecast'!L43</f>
        <v>0</v>
      </c>
      <c r="L22" s="105">
        <f>+'Financial Statement Forecast'!M43</f>
        <v>0</v>
      </c>
      <c r="M22" s="105">
        <f>+'Financial Statement Forecast'!N43</f>
        <v>0</v>
      </c>
      <c r="N22" s="105">
        <f>+'Financial Statement Forecast'!O43</f>
        <v>0</v>
      </c>
      <c r="O22" s="105">
        <f>+'Financial Statement Forecast'!P43</f>
        <v>0</v>
      </c>
      <c r="P22" s="105">
        <f>+'Financial Statement Forecast'!Q43</f>
        <v>0</v>
      </c>
      <c r="Q22" s="105">
        <f>+'Financial Statement Forecast'!R43</f>
        <v>0</v>
      </c>
      <c r="R22" s="105">
        <f>+'Financial Statement Forecast'!S43</f>
        <v>0</v>
      </c>
      <c r="S22" s="105">
        <f>+'Financial Statement Forecast'!T43</f>
        <v>0</v>
      </c>
      <c r="T22" s="105">
        <f>+'Financial Statement Forecast'!U43</f>
        <v>0</v>
      </c>
      <c r="U22" s="105">
        <f>+'Financial Statement Forecast'!V43</f>
        <v>0</v>
      </c>
      <c r="V22" s="105">
        <f>+'Financial Statement Forecast'!W43</f>
        <v>0</v>
      </c>
    </row>
    <row r="24" spans="1:22" ht="12.75">
      <c r="A24" s="108" t="s">
        <v>104</v>
      </c>
      <c r="B24" s="105">
        <f>SUM(B18:B23)</f>
        <v>0</v>
      </c>
      <c r="C24" s="105">
        <f aca="true" t="shared" si="3" ref="C24:V24">SUM(C18:C23)</f>
        <v>27035.96</v>
      </c>
      <c r="D24" s="105">
        <f t="shared" si="3"/>
        <v>7192.34</v>
      </c>
      <c r="E24" s="105">
        <f t="shared" si="3"/>
        <v>7350.95</v>
      </c>
      <c r="F24" s="105">
        <f t="shared" si="3"/>
        <v>7513.79</v>
      </c>
      <c r="G24" s="105">
        <f t="shared" si="3"/>
        <v>7679.88</v>
      </c>
      <c r="H24" s="105">
        <f t="shared" si="3"/>
        <v>7849.2</v>
      </c>
      <c r="I24" s="105">
        <f t="shared" si="3"/>
        <v>8021.77</v>
      </c>
      <c r="J24" s="105">
        <f t="shared" si="3"/>
        <v>8417.59</v>
      </c>
      <c r="K24" s="105">
        <f t="shared" si="3"/>
        <v>8597.66</v>
      </c>
      <c r="L24" s="105">
        <f t="shared" si="3"/>
        <v>8781</v>
      </c>
      <c r="M24" s="105">
        <f t="shared" si="3"/>
        <v>8968.59</v>
      </c>
      <c r="N24" s="105">
        <f t="shared" si="3"/>
        <v>9159.45</v>
      </c>
      <c r="O24" s="105">
        <f t="shared" si="3"/>
        <v>9354.58</v>
      </c>
      <c r="P24" s="105">
        <f t="shared" si="3"/>
        <v>9332.99</v>
      </c>
      <c r="Q24" s="105">
        <f t="shared" si="3"/>
        <v>9535.68</v>
      </c>
      <c r="R24" s="105">
        <f t="shared" si="3"/>
        <v>9742.65</v>
      </c>
      <c r="S24" s="105">
        <f t="shared" si="3"/>
        <v>9953.9</v>
      </c>
      <c r="T24" s="105">
        <f t="shared" si="3"/>
        <v>10169.45</v>
      </c>
      <c r="U24" s="105">
        <f t="shared" si="3"/>
        <v>10388.29</v>
      </c>
      <c r="V24" s="105">
        <f t="shared" si="3"/>
        <v>10612.44</v>
      </c>
    </row>
    <row r="26" spans="1:22" ht="12.75">
      <c r="A26" s="108" t="s">
        <v>228</v>
      </c>
      <c r="B26" s="105">
        <f>ROUND(B24/4,0)</f>
        <v>0</v>
      </c>
      <c r="C26" s="105">
        <f aca="true" t="shared" si="4" ref="C26:V26">ROUND(C24/4,0)</f>
        <v>6759</v>
      </c>
      <c r="D26" s="105">
        <f t="shared" si="4"/>
        <v>1798</v>
      </c>
      <c r="E26" s="105">
        <f t="shared" si="4"/>
        <v>1838</v>
      </c>
      <c r="F26" s="105">
        <f t="shared" si="4"/>
        <v>1878</v>
      </c>
      <c r="G26" s="105">
        <f t="shared" si="4"/>
        <v>1920</v>
      </c>
      <c r="H26" s="105">
        <f t="shared" si="4"/>
        <v>1962</v>
      </c>
      <c r="I26" s="105">
        <f t="shared" si="4"/>
        <v>2005</v>
      </c>
      <c r="J26" s="105">
        <f t="shared" si="4"/>
        <v>2104</v>
      </c>
      <c r="K26" s="105">
        <f t="shared" si="4"/>
        <v>2149</v>
      </c>
      <c r="L26" s="105">
        <f t="shared" si="4"/>
        <v>2195</v>
      </c>
      <c r="M26" s="105">
        <f t="shared" si="4"/>
        <v>2242</v>
      </c>
      <c r="N26" s="105">
        <f t="shared" si="4"/>
        <v>2290</v>
      </c>
      <c r="O26" s="105">
        <f t="shared" si="4"/>
        <v>2339</v>
      </c>
      <c r="P26" s="105">
        <f t="shared" si="4"/>
        <v>2333</v>
      </c>
      <c r="Q26" s="105">
        <f t="shared" si="4"/>
        <v>2384</v>
      </c>
      <c r="R26" s="105">
        <f t="shared" si="4"/>
        <v>2436</v>
      </c>
      <c r="S26" s="105">
        <f t="shared" si="4"/>
        <v>2488</v>
      </c>
      <c r="T26" s="105">
        <f t="shared" si="4"/>
        <v>2542</v>
      </c>
      <c r="U26" s="105">
        <f t="shared" si="4"/>
        <v>2597</v>
      </c>
      <c r="V26" s="105">
        <f t="shared" si="4"/>
        <v>2653</v>
      </c>
    </row>
    <row r="28" spans="1:22" ht="12.75">
      <c r="A28" s="108" t="s">
        <v>236</v>
      </c>
      <c r="B28" s="105">
        <f>ROUND(B26*0.2,0)</f>
        <v>0</v>
      </c>
      <c r="C28" s="105">
        <f aca="true" t="shared" si="5" ref="C28:V28">ROUND(C26*0.2,0)</f>
        <v>1352</v>
      </c>
      <c r="D28" s="105">
        <f t="shared" si="5"/>
        <v>360</v>
      </c>
      <c r="E28" s="105">
        <f t="shared" si="5"/>
        <v>368</v>
      </c>
      <c r="F28" s="105">
        <f t="shared" si="5"/>
        <v>376</v>
      </c>
      <c r="G28" s="105">
        <f t="shared" si="5"/>
        <v>384</v>
      </c>
      <c r="H28" s="105">
        <f t="shared" si="5"/>
        <v>392</v>
      </c>
      <c r="I28" s="105">
        <f t="shared" si="5"/>
        <v>401</v>
      </c>
      <c r="J28" s="105">
        <f t="shared" si="5"/>
        <v>421</v>
      </c>
      <c r="K28" s="105">
        <f t="shared" si="5"/>
        <v>430</v>
      </c>
      <c r="L28" s="105">
        <f t="shared" si="5"/>
        <v>439</v>
      </c>
      <c r="M28" s="105">
        <f t="shared" si="5"/>
        <v>448</v>
      </c>
      <c r="N28" s="105">
        <f t="shared" si="5"/>
        <v>458</v>
      </c>
      <c r="O28" s="105">
        <f t="shared" si="5"/>
        <v>468</v>
      </c>
      <c r="P28" s="105">
        <f t="shared" si="5"/>
        <v>467</v>
      </c>
      <c r="Q28" s="105">
        <f t="shared" si="5"/>
        <v>477</v>
      </c>
      <c r="R28" s="105">
        <f t="shared" si="5"/>
        <v>487</v>
      </c>
      <c r="S28" s="105">
        <f t="shared" si="5"/>
        <v>498</v>
      </c>
      <c r="T28" s="105">
        <f t="shared" si="5"/>
        <v>508</v>
      </c>
      <c r="U28" s="105">
        <f t="shared" si="5"/>
        <v>519</v>
      </c>
      <c r="V28" s="105">
        <f t="shared" si="5"/>
        <v>531</v>
      </c>
    </row>
    <row r="30" spans="1:22" ht="12.75">
      <c r="A30" s="108" t="s">
        <v>237</v>
      </c>
      <c r="B30" s="105">
        <f aca="true" t="shared" si="6" ref="B30:V30">+B28-B14</f>
        <v>0</v>
      </c>
      <c r="C30" s="105">
        <f t="shared" si="6"/>
        <v>740</v>
      </c>
      <c r="D30" s="105">
        <f t="shared" si="6"/>
        <v>-269</v>
      </c>
      <c r="E30" s="105">
        <f t="shared" si="6"/>
        <v>-279</v>
      </c>
      <c r="F30" s="105">
        <f t="shared" si="6"/>
        <v>-289</v>
      </c>
      <c r="G30" s="105">
        <f t="shared" si="6"/>
        <v>-299</v>
      </c>
      <c r="H30" s="105">
        <f t="shared" si="6"/>
        <v>-310</v>
      </c>
      <c r="I30" s="105">
        <f t="shared" si="6"/>
        <v>-320</v>
      </c>
      <c r="J30" s="105">
        <f t="shared" si="6"/>
        <v>-320</v>
      </c>
      <c r="K30" s="105">
        <f t="shared" si="6"/>
        <v>-331</v>
      </c>
      <c r="L30" s="105">
        <f t="shared" si="6"/>
        <v>-343</v>
      </c>
      <c r="M30" s="105">
        <f t="shared" si="6"/>
        <v>-355</v>
      </c>
      <c r="N30" s="105">
        <f t="shared" si="6"/>
        <v>-367</v>
      </c>
      <c r="O30" s="105">
        <f t="shared" si="6"/>
        <v>-380</v>
      </c>
      <c r="P30" s="105">
        <f t="shared" si="6"/>
        <v>-404</v>
      </c>
      <c r="Q30" s="105">
        <f t="shared" si="6"/>
        <v>-417</v>
      </c>
      <c r="R30" s="105">
        <f t="shared" si="6"/>
        <v>-431</v>
      </c>
      <c r="S30" s="105">
        <f t="shared" si="6"/>
        <v>-445</v>
      </c>
      <c r="T30" s="105">
        <f t="shared" si="6"/>
        <v>-460</v>
      </c>
      <c r="U30" s="105">
        <f t="shared" si="6"/>
        <v>-475</v>
      </c>
      <c r="V30" s="105">
        <f t="shared" si="6"/>
        <v>-490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98"/>
  <sheetViews>
    <sheetView zoomScalePageLayoutView="0" workbookViewId="0" topLeftCell="A9">
      <selection activeCell="G9" sqref="G9"/>
    </sheetView>
  </sheetViews>
  <sheetFormatPr defaultColWidth="9.140625" defaultRowHeight="12.75"/>
  <cols>
    <col min="1" max="1" width="61.8515625" style="0" bestFit="1" customWidth="1"/>
    <col min="2" max="2" width="20.57421875" style="0" bestFit="1" customWidth="1"/>
    <col min="3" max="3" width="11.140625" style="0" bestFit="1" customWidth="1"/>
    <col min="4" max="4" width="9.28125" style="0" customWidth="1"/>
    <col min="5" max="5" width="12.57421875" style="0" customWidth="1"/>
    <col min="6" max="6" width="10.421875" style="0" customWidth="1"/>
    <col min="7" max="8" width="8.57421875" style="0" bestFit="1" customWidth="1"/>
  </cols>
  <sheetData>
    <row r="2" spans="1:5" ht="15.75">
      <c r="A2" s="34" t="s">
        <v>118</v>
      </c>
      <c r="B2" s="30"/>
      <c r="C2" s="30"/>
      <c r="D2" s="30"/>
      <c r="E2" s="30"/>
    </row>
    <row r="3" spans="1:5" ht="13.5" thickBot="1">
      <c r="A3" s="1"/>
      <c r="E3" s="33" t="s">
        <v>55</v>
      </c>
    </row>
    <row r="4" spans="1:6" ht="13.5" thickBot="1">
      <c r="A4" t="s">
        <v>49</v>
      </c>
      <c r="E4" s="26"/>
      <c r="F4" s="31" t="s">
        <v>53</v>
      </c>
    </row>
    <row r="5" spans="5:6" ht="13.5" thickBot="1">
      <c r="E5" s="32"/>
      <c r="F5" s="31" t="s">
        <v>54</v>
      </c>
    </row>
    <row r="6" ht="12.75">
      <c r="A6" s="3"/>
    </row>
    <row r="8" ht="12.75">
      <c r="C8" s="2"/>
    </row>
    <row r="9" spans="1:3" ht="13.5" thickBot="1">
      <c r="A9" s="35" t="s">
        <v>59</v>
      </c>
      <c r="C9" s="2"/>
    </row>
    <row r="10" spans="1:4" ht="13.5" thickBot="1">
      <c r="A10" t="s">
        <v>38</v>
      </c>
      <c r="B10" t="s">
        <v>1</v>
      </c>
      <c r="C10" s="48">
        <v>160</v>
      </c>
      <c r="D10" s="25"/>
    </row>
    <row r="11" spans="1:3" ht="13.5" thickBot="1">
      <c r="A11" t="s">
        <v>48</v>
      </c>
      <c r="C11" s="10">
        <f>153600</f>
        <v>153600</v>
      </c>
    </row>
    <row r="12" spans="1:3" ht="13.5" thickBot="1">
      <c r="A12" s="3" t="s">
        <v>85</v>
      </c>
      <c r="C12" s="10">
        <v>19000</v>
      </c>
    </row>
    <row r="13" spans="1:5" ht="13.5" thickBot="1">
      <c r="A13" s="1" t="s">
        <v>35</v>
      </c>
      <c r="B13" s="1"/>
      <c r="C13" s="38">
        <f>C11+C12</f>
        <v>172600</v>
      </c>
      <c r="E13" s="3" t="s">
        <v>84</v>
      </c>
    </row>
    <row r="14" ht="12.75">
      <c r="C14" s="68"/>
    </row>
    <row r="15" spans="1:3" ht="13.5" thickBot="1">
      <c r="A15" s="35" t="s">
        <v>58</v>
      </c>
      <c r="C15" s="68"/>
    </row>
    <row r="16" spans="1:5" ht="13.5" thickBot="1">
      <c r="A16" t="s">
        <v>3</v>
      </c>
      <c r="B16" t="s">
        <v>0</v>
      </c>
      <c r="C16" s="37">
        <f>D16*C10</f>
        <v>143200</v>
      </c>
      <c r="D16" s="24">
        <v>895</v>
      </c>
      <c r="E16" t="s">
        <v>112</v>
      </c>
    </row>
    <row r="17" spans="1:3" ht="13.5" thickBot="1">
      <c r="A17" s="3" t="s">
        <v>56</v>
      </c>
      <c r="B17" t="s">
        <v>4</v>
      </c>
      <c r="C17" s="49">
        <v>9.21</v>
      </c>
    </row>
    <row r="18" spans="1:3" ht="13.5" thickBot="1">
      <c r="A18" s="3" t="s">
        <v>50</v>
      </c>
      <c r="B18" s="3"/>
      <c r="C18" s="69">
        <f>C16*C17/100</f>
        <v>13188.720000000003</v>
      </c>
    </row>
    <row r="19" spans="1:3" ht="13.5" thickBot="1">
      <c r="A19" s="3" t="s">
        <v>57</v>
      </c>
      <c r="C19" s="70">
        <v>0.8</v>
      </c>
    </row>
    <row r="20" spans="1:5" ht="13.5" thickBot="1">
      <c r="A20" t="s">
        <v>124</v>
      </c>
      <c r="B20" t="s">
        <v>6</v>
      </c>
      <c r="C20" s="71">
        <f>C16*C19*D20/100</f>
        <v>11456</v>
      </c>
      <c r="D20" s="36">
        <v>10</v>
      </c>
      <c r="E20" t="s">
        <v>2</v>
      </c>
    </row>
    <row r="21" spans="1:4" ht="13.5" thickBot="1">
      <c r="A21" t="s">
        <v>39</v>
      </c>
      <c r="B21" t="s">
        <v>6</v>
      </c>
      <c r="C21" s="37">
        <f>C16-(C16*C19)</f>
        <v>28640</v>
      </c>
      <c r="D21" t="s">
        <v>0</v>
      </c>
    </row>
    <row r="22" spans="1:5" ht="13.5" thickBot="1">
      <c r="A22" s="3" t="s">
        <v>40</v>
      </c>
      <c r="B22" t="s">
        <v>6</v>
      </c>
      <c r="C22" s="72">
        <f>(C16*D22/100)*(100%-C19)</f>
        <v>1389.0399999999997</v>
      </c>
      <c r="D22" s="50">
        <v>4.85</v>
      </c>
      <c r="E22" t="s">
        <v>5</v>
      </c>
    </row>
    <row r="24" ht="13.5" thickBot="1">
      <c r="A24" s="35"/>
    </row>
    <row r="25" spans="1:3" ht="13.5" thickBot="1">
      <c r="A25" s="41" t="s">
        <v>74</v>
      </c>
      <c r="B25" t="s">
        <v>41</v>
      </c>
      <c r="C25" s="73">
        <v>0.05</v>
      </c>
    </row>
    <row r="26" spans="1:3" ht="13.5" thickBot="1">
      <c r="A26" s="3" t="s">
        <v>75</v>
      </c>
      <c r="B26" t="s">
        <v>41</v>
      </c>
      <c r="C26" s="39">
        <f>C13*(C25)</f>
        <v>8630</v>
      </c>
    </row>
    <row r="27" spans="4:5" ht="12.75">
      <c r="D27" s="9"/>
      <c r="E27" s="27"/>
    </row>
    <row r="28" ht="13.5" thickBot="1"/>
    <row r="29" spans="1:4" ht="13.5" thickBot="1">
      <c r="A29" s="3" t="s">
        <v>61</v>
      </c>
      <c r="C29" s="70">
        <v>0.12</v>
      </c>
      <c r="D29" s="4" t="s">
        <v>86</v>
      </c>
    </row>
    <row r="30" spans="1:5" ht="13.5" thickBot="1">
      <c r="A30" s="3" t="s">
        <v>26</v>
      </c>
      <c r="B30" s="3" t="s">
        <v>60</v>
      </c>
      <c r="C30" s="40">
        <f>C29*C13</f>
        <v>20712</v>
      </c>
      <c r="D30" s="60">
        <f>C30/6</f>
        <v>3452</v>
      </c>
      <c r="E30" s="3" t="s">
        <v>87</v>
      </c>
    </row>
    <row r="32" ht="13.5" thickBot="1"/>
    <row r="33" spans="1:2" ht="13.5" thickBot="1">
      <c r="A33" s="3" t="s">
        <v>62</v>
      </c>
      <c r="B33" s="73">
        <v>0.007</v>
      </c>
    </row>
    <row r="34" spans="1:23" ht="13.5" thickBot="1">
      <c r="A34" t="s">
        <v>30</v>
      </c>
      <c r="B34" s="73">
        <v>1</v>
      </c>
      <c r="C34" s="73">
        <f>B34-$B$33</f>
        <v>0.993</v>
      </c>
      <c r="D34" s="73">
        <f>C34-$B$33</f>
        <v>0.986</v>
      </c>
      <c r="E34" s="73">
        <f aca="true" t="shared" si="0" ref="E34:W34">D34-$B$33</f>
        <v>0.979</v>
      </c>
      <c r="F34" s="73">
        <f t="shared" si="0"/>
        <v>0.972</v>
      </c>
      <c r="G34" s="73">
        <f t="shared" si="0"/>
        <v>0.965</v>
      </c>
      <c r="H34" s="73">
        <f t="shared" si="0"/>
        <v>0.958</v>
      </c>
      <c r="I34" s="73">
        <f t="shared" si="0"/>
        <v>0.951</v>
      </c>
      <c r="J34" s="73">
        <f t="shared" si="0"/>
        <v>0.944</v>
      </c>
      <c r="K34" s="73">
        <f t="shared" si="0"/>
        <v>0.9369999999999999</v>
      </c>
      <c r="L34" s="73">
        <f t="shared" si="0"/>
        <v>0.9299999999999999</v>
      </c>
      <c r="M34" s="73">
        <f t="shared" si="0"/>
        <v>0.9229999999999999</v>
      </c>
      <c r="N34" s="73">
        <f t="shared" si="0"/>
        <v>0.9159999999999999</v>
      </c>
      <c r="O34" s="73">
        <f t="shared" si="0"/>
        <v>0.9089999999999999</v>
      </c>
      <c r="P34" s="73">
        <f t="shared" si="0"/>
        <v>0.9019999999999999</v>
      </c>
      <c r="Q34" s="73">
        <f t="shared" si="0"/>
        <v>0.8949999999999999</v>
      </c>
      <c r="R34" s="73">
        <f t="shared" si="0"/>
        <v>0.8879999999999999</v>
      </c>
      <c r="S34" s="73">
        <f t="shared" si="0"/>
        <v>0.8809999999999999</v>
      </c>
      <c r="T34" s="73">
        <f t="shared" si="0"/>
        <v>0.8739999999999999</v>
      </c>
      <c r="U34" s="73">
        <f t="shared" si="0"/>
        <v>0.8669999999999999</v>
      </c>
      <c r="V34" s="73">
        <f t="shared" si="0"/>
        <v>0.8599999999999999</v>
      </c>
      <c r="W34" s="73">
        <f t="shared" si="0"/>
        <v>0.8529999999999999</v>
      </c>
    </row>
    <row r="35" spans="2:23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23" ht="13.5" thickBo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4" ht="13.5" thickBot="1">
      <c r="A37" s="6" t="s">
        <v>42</v>
      </c>
      <c r="B37" s="5"/>
      <c r="C37" s="74">
        <v>0.035</v>
      </c>
      <c r="D37" s="6">
        <f aca="true" t="shared" si="1" ref="D37:W37">C37</f>
        <v>0.035</v>
      </c>
      <c r="E37" s="6">
        <f t="shared" si="1"/>
        <v>0.035</v>
      </c>
      <c r="F37" s="6">
        <f t="shared" si="1"/>
        <v>0.035</v>
      </c>
      <c r="G37" s="6">
        <f t="shared" si="1"/>
        <v>0.035</v>
      </c>
      <c r="H37" s="6">
        <f t="shared" si="1"/>
        <v>0.035</v>
      </c>
      <c r="I37" s="6">
        <f t="shared" si="1"/>
        <v>0.035</v>
      </c>
      <c r="J37" s="6">
        <f t="shared" si="1"/>
        <v>0.035</v>
      </c>
      <c r="K37" s="6">
        <f t="shared" si="1"/>
        <v>0.035</v>
      </c>
      <c r="L37" s="6">
        <f t="shared" si="1"/>
        <v>0.035</v>
      </c>
      <c r="M37" s="6">
        <f t="shared" si="1"/>
        <v>0.035</v>
      </c>
      <c r="N37" s="6">
        <f t="shared" si="1"/>
        <v>0.035</v>
      </c>
      <c r="O37" s="6">
        <f t="shared" si="1"/>
        <v>0.035</v>
      </c>
      <c r="P37" s="6">
        <f t="shared" si="1"/>
        <v>0.035</v>
      </c>
      <c r="Q37" s="6">
        <f t="shared" si="1"/>
        <v>0.035</v>
      </c>
      <c r="R37" s="6">
        <f t="shared" si="1"/>
        <v>0.035</v>
      </c>
      <c r="S37" s="6">
        <f t="shared" si="1"/>
        <v>0.035</v>
      </c>
      <c r="T37" s="6">
        <f t="shared" si="1"/>
        <v>0.035</v>
      </c>
      <c r="U37" s="6">
        <f t="shared" si="1"/>
        <v>0.035</v>
      </c>
      <c r="V37" s="6">
        <f t="shared" si="1"/>
        <v>0.035</v>
      </c>
      <c r="W37" s="6">
        <f t="shared" si="1"/>
        <v>0.035</v>
      </c>
      <c r="X37" s="6"/>
    </row>
    <row r="38" spans="1:23" ht="12.75">
      <c r="A38" t="s">
        <v>37</v>
      </c>
      <c r="B38" s="23">
        <v>1</v>
      </c>
      <c r="C38" s="23">
        <f aca="true" t="shared" si="2" ref="C38:W38">B38*(1+C37)</f>
        <v>1.035</v>
      </c>
      <c r="D38" s="23">
        <f t="shared" si="2"/>
        <v>1.0712249999999999</v>
      </c>
      <c r="E38" s="23">
        <f t="shared" si="2"/>
        <v>1.1087178749999997</v>
      </c>
      <c r="F38" s="23">
        <f t="shared" si="2"/>
        <v>1.1475230006249997</v>
      </c>
      <c r="G38" s="23">
        <f t="shared" si="2"/>
        <v>1.1876863056468745</v>
      </c>
      <c r="H38" s="23">
        <f t="shared" si="2"/>
        <v>1.229255326344515</v>
      </c>
      <c r="I38" s="23">
        <f t="shared" si="2"/>
        <v>1.2722792627665729</v>
      </c>
      <c r="J38" s="23">
        <f t="shared" si="2"/>
        <v>1.316809036963403</v>
      </c>
      <c r="K38" s="23">
        <f t="shared" si="2"/>
        <v>1.3628973532571218</v>
      </c>
      <c r="L38" s="23">
        <f t="shared" si="2"/>
        <v>1.410598760621121</v>
      </c>
      <c r="M38" s="23">
        <f t="shared" si="2"/>
        <v>1.45996971724286</v>
      </c>
      <c r="N38" s="23">
        <f t="shared" si="2"/>
        <v>1.51106865734636</v>
      </c>
      <c r="O38" s="23">
        <f t="shared" si="2"/>
        <v>1.5639560603534826</v>
      </c>
      <c r="P38" s="23">
        <f t="shared" si="2"/>
        <v>1.6186945224658542</v>
      </c>
      <c r="Q38" s="23">
        <f t="shared" si="2"/>
        <v>1.675348830752159</v>
      </c>
      <c r="R38" s="23">
        <f t="shared" si="2"/>
        <v>1.7339860398284843</v>
      </c>
      <c r="S38" s="23">
        <f t="shared" si="2"/>
        <v>1.7946755512224812</v>
      </c>
      <c r="T38" s="23">
        <f t="shared" si="2"/>
        <v>1.857489195515268</v>
      </c>
      <c r="U38" s="23">
        <f t="shared" si="2"/>
        <v>1.922501317358302</v>
      </c>
      <c r="V38" s="23">
        <f t="shared" si="2"/>
        <v>1.9897888634658425</v>
      </c>
      <c r="W38" s="23">
        <f t="shared" si="2"/>
        <v>2.059431473687147</v>
      </c>
    </row>
    <row r="39" spans="2:23" ht="13.5" thickBo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4" ht="13.5" thickBot="1">
      <c r="A40" s="6" t="s">
        <v>43</v>
      </c>
      <c r="B40" s="5"/>
      <c r="C40" s="74">
        <f>'[1]Sensitivities'!B3</f>
        <v>0.025</v>
      </c>
      <c r="D40" s="6">
        <f aca="true" t="shared" si="3" ref="D40:W40">C40</f>
        <v>0.025</v>
      </c>
      <c r="E40" s="6">
        <f t="shared" si="3"/>
        <v>0.025</v>
      </c>
      <c r="F40" s="6">
        <f t="shared" si="3"/>
        <v>0.025</v>
      </c>
      <c r="G40" s="6">
        <f t="shared" si="3"/>
        <v>0.025</v>
      </c>
      <c r="H40" s="6">
        <f t="shared" si="3"/>
        <v>0.025</v>
      </c>
      <c r="I40" s="6">
        <f t="shared" si="3"/>
        <v>0.025</v>
      </c>
      <c r="J40" s="6">
        <f t="shared" si="3"/>
        <v>0.025</v>
      </c>
      <c r="K40" s="6">
        <f t="shared" si="3"/>
        <v>0.025</v>
      </c>
      <c r="L40" s="6">
        <f t="shared" si="3"/>
        <v>0.025</v>
      </c>
      <c r="M40" s="6">
        <f t="shared" si="3"/>
        <v>0.025</v>
      </c>
      <c r="N40" s="6">
        <f t="shared" si="3"/>
        <v>0.025</v>
      </c>
      <c r="O40" s="6">
        <f t="shared" si="3"/>
        <v>0.025</v>
      </c>
      <c r="P40" s="6">
        <f t="shared" si="3"/>
        <v>0.025</v>
      </c>
      <c r="Q40" s="6">
        <f t="shared" si="3"/>
        <v>0.025</v>
      </c>
      <c r="R40" s="6">
        <f t="shared" si="3"/>
        <v>0.025</v>
      </c>
      <c r="S40" s="6">
        <f t="shared" si="3"/>
        <v>0.025</v>
      </c>
      <c r="T40" s="6">
        <f t="shared" si="3"/>
        <v>0.025</v>
      </c>
      <c r="U40" s="6">
        <f t="shared" si="3"/>
        <v>0.025</v>
      </c>
      <c r="V40" s="6">
        <f t="shared" si="3"/>
        <v>0.025</v>
      </c>
      <c r="W40" s="6">
        <f t="shared" si="3"/>
        <v>0.025</v>
      </c>
      <c r="X40" s="6"/>
    </row>
    <row r="41" spans="1:23" ht="12.75">
      <c r="A41" t="s">
        <v>37</v>
      </c>
      <c r="B41" s="23">
        <v>1</v>
      </c>
      <c r="C41" s="23">
        <f aca="true" t="shared" si="4" ref="C41:W41">B41*(1+C40)</f>
        <v>1.025</v>
      </c>
      <c r="D41" s="23">
        <f t="shared" si="4"/>
        <v>1.050625</v>
      </c>
      <c r="E41" s="23">
        <f t="shared" si="4"/>
        <v>1.0768906249999999</v>
      </c>
      <c r="F41" s="23">
        <f t="shared" si="4"/>
        <v>1.1038128906249998</v>
      </c>
      <c r="G41" s="23">
        <f t="shared" si="4"/>
        <v>1.1314082128906247</v>
      </c>
      <c r="H41" s="23">
        <f t="shared" si="4"/>
        <v>1.1596934182128902</v>
      </c>
      <c r="I41" s="23">
        <f t="shared" si="4"/>
        <v>1.1886857536682123</v>
      </c>
      <c r="J41" s="23">
        <f t="shared" si="4"/>
        <v>1.2184028975099175</v>
      </c>
      <c r="K41" s="23">
        <f t="shared" si="4"/>
        <v>1.2488629699476652</v>
      </c>
      <c r="L41" s="23">
        <f t="shared" si="4"/>
        <v>1.2800845441963566</v>
      </c>
      <c r="M41" s="23">
        <f t="shared" si="4"/>
        <v>1.3120866578012655</v>
      </c>
      <c r="N41" s="23">
        <f t="shared" si="4"/>
        <v>1.344888824246297</v>
      </c>
      <c r="O41" s="23">
        <f t="shared" si="4"/>
        <v>1.3785110448524545</v>
      </c>
      <c r="P41" s="23">
        <f t="shared" si="4"/>
        <v>1.4129738209737657</v>
      </c>
      <c r="Q41" s="23">
        <f t="shared" si="4"/>
        <v>1.4482981664981096</v>
      </c>
      <c r="R41" s="23">
        <f t="shared" si="4"/>
        <v>1.4845056206605622</v>
      </c>
      <c r="S41" s="23">
        <f t="shared" si="4"/>
        <v>1.521618261177076</v>
      </c>
      <c r="T41" s="23">
        <f t="shared" si="4"/>
        <v>1.5596587177065029</v>
      </c>
      <c r="U41" s="23">
        <f t="shared" si="4"/>
        <v>1.5986501856491653</v>
      </c>
      <c r="V41" s="23">
        <f t="shared" si="4"/>
        <v>1.6386164402903942</v>
      </c>
      <c r="W41" s="23">
        <f t="shared" si="4"/>
        <v>1.679581851297654</v>
      </c>
    </row>
    <row r="42" spans="2:23" ht="13.5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ht="13.5" thickBot="1">
      <c r="A43" s="6" t="s">
        <v>52</v>
      </c>
      <c r="B43" s="5"/>
      <c r="C43" s="74">
        <v>0.025</v>
      </c>
      <c r="D43" s="6">
        <f aca="true" t="shared" si="5" ref="D43:W43">C43</f>
        <v>0.025</v>
      </c>
      <c r="E43" s="6">
        <f t="shared" si="5"/>
        <v>0.025</v>
      </c>
      <c r="F43" s="6">
        <f t="shared" si="5"/>
        <v>0.025</v>
      </c>
      <c r="G43" s="6">
        <f t="shared" si="5"/>
        <v>0.025</v>
      </c>
      <c r="H43" s="6">
        <f t="shared" si="5"/>
        <v>0.025</v>
      </c>
      <c r="I43" s="6">
        <f t="shared" si="5"/>
        <v>0.025</v>
      </c>
      <c r="J43" s="6">
        <f t="shared" si="5"/>
        <v>0.025</v>
      </c>
      <c r="K43" s="6">
        <f t="shared" si="5"/>
        <v>0.025</v>
      </c>
      <c r="L43" s="6">
        <f t="shared" si="5"/>
        <v>0.025</v>
      </c>
      <c r="M43" s="6">
        <f t="shared" si="5"/>
        <v>0.025</v>
      </c>
      <c r="N43" s="6">
        <f t="shared" si="5"/>
        <v>0.025</v>
      </c>
      <c r="O43" s="6">
        <f t="shared" si="5"/>
        <v>0.025</v>
      </c>
      <c r="P43" s="6">
        <f t="shared" si="5"/>
        <v>0.025</v>
      </c>
      <c r="Q43" s="6">
        <f t="shared" si="5"/>
        <v>0.025</v>
      </c>
      <c r="R43" s="6">
        <f t="shared" si="5"/>
        <v>0.025</v>
      </c>
      <c r="S43" s="6">
        <f t="shared" si="5"/>
        <v>0.025</v>
      </c>
      <c r="T43" s="6">
        <f t="shared" si="5"/>
        <v>0.025</v>
      </c>
      <c r="U43" s="6">
        <f t="shared" si="5"/>
        <v>0.025</v>
      </c>
      <c r="V43" s="6">
        <f t="shared" si="5"/>
        <v>0.025</v>
      </c>
      <c r="W43" s="6">
        <f t="shared" si="5"/>
        <v>0.025</v>
      </c>
    </row>
    <row r="44" spans="1:23" ht="12.75">
      <c r="A44" t="s">
        <v>37</v>
      </c>
      <c r="B44" s="23">
        <v>1</v>
      </c>
      <c r="C44" s="23">
        <f aca="true" t="shared" si="6" ref="C44:W44">B44*(1+C43)</f>
        <v>1.025</v>
      </c>
      <c r="D44" s="23">
        <f t="shared" si="6"/>
        <v>1.050625</v>
      </c>
      <c r="E44" s="23">
        <f t="shared" si="6"/>
        <v>1.0768906249999999</v>
      </c>
      <c r="F44" s="23">
        <f t="shared" si="6"/>
        <v>1.1038128906249998</v>
      </c>
      <c r="G44" s="23">
        <f t="shared" si="6"/>
        <v>1.1314082128906247</v>
      </c>
      <c r="H44" s="23">
        <f t="shared" si="6"/>
        <v>1.1596934182128902</v>
      </c>
      <c r="I44" s="23">
        <f t="shared" si="6"/>
        <v>1.1886857536682123</v>
      </c>
      <c r="J44" s="23">
        <f t="shared" si="6"/>
        <v>1.2184028975099175</v>
      </c>
      <c r="K44" s="23">
        <f t="shared" si="6"/>
        <v>1.2488629699476652</v>
      </c>
      <c r="L44" s="23">
        <f t="shared" si="6"/>
        <v>1.2800845441963566</v>
      </c>
      <c r="M44" s="23">
        <f t="shared" si="6"/>
        <v>1.3120866578012655</v>
      </c>
      <c r="N44" s="23">
        <f t="shared" si="6"/>
        <v>1.344888824246297</v>
      </c>
      <c r="O44" s="23">
        <f t="shared" si="6"/>
        <v>1.3785110448524545</v>
      </c>
      <c r="P44" s="23">
        <f t="shared" si="6"/>
        <v>1.4129738209737657</v>
      </c>
      <c r="Q44" s="23">
        <f t="shared" si="6"/>
        <v>1.4482981664981096</v>
      </c>
      <c r="R44" s="23">
        <f t="shared" si="6"/>
        <v>1.4845056206605622</v>
      </c>
      <c r="S44" s="23">
        <f t="shared" si="6"/>
        <v>1.521618261177076</v>
      </c>
      <c r="T44" s="23">
        <f t="shared" si="6"/>
        <v>1.5596587177065029</v>
      </c>
      <c r="U44" s="23">
        <f t="shared" si="6"/>
        <v>1.5986501856491653</v>
      </c>
      <c r="V44" s="23">
        <f t="shared" si="6"/>
        <v>1.6386164402903942</v>
      </c>
      <c r="W44" s="23">
        <f t="shared" si="6"/>
        <v>1.679581851297654</v>
      </c>
    </row>
    <row r="45" spans="2:22" ht="12.7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2:22" ht="12.7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3" ht="12.75">
      <c r="A47" s="55" t="s">
        <v>78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ht="13.5" thickBot="1">
      <c r="A48" s="52" t="s">
        <v>76</v>
      </c>
      <c r="B48" s="51"/>
      <c r="C48" s="53">
        <f>$C13</f>
        <v>172600</v>
      </c>
      <c r="D48" s="53">
        <f>C48-D49</f>
        <v>172600</v>
      </c>
      <c r="E48" s="53">
        <f aca="true" t="shared" si="7" ref="E48:W48">D48-E49</f>
        <v>172600</v>
      </c>
      <c r="F48" s="53">
        <f t="shared" si="7"/>
        <v>172600</v>
      </c>
      <c r="G48" s="53">
        <f>F48</f>
        <v>172600</v>
      </c>
      <c r="H48" s="53">
        <f t="shared" si="7"/>
        <v>162447.06</v>
      </c>
      <c r="I48" s="53">
        <f t="shared" si="7"/>
        <v>152294.12</v>
      </c>
      <c r="J48" s="53">
        <f t="shared" si="7"/>
        <v>142141.18</v>
      </c>
      <c r="K48" s="53">
        <f t="shared" si="7"/>
        <v>131988.24</v>
      </c>
      <c r="L48" s="53">
        <f t="shared" si="7"/>
        <v>121835.29999999999</v>
      </c>
      <c r="M48" s="53">
        <f t="shared" si="7"/>
        <v>111682.35999999999</v>
      </c>
      <c r="N48" s="53">
        <f t="shared" si="7"/>
        <v>101529.41999999998</v>
      </c>
      <c r="O48" s="53">
        <f t="shared" si="7"/>
        <v>91376.47999999998</v>
      </c>
      <c r="P48" s="53">
        <f t="shared" si="7"/>
        <v>81223.53999999998</v>
      </c>
      <c r="Q48" s="53">
        <f t="shared" si="7"/>
        <v>71070.59999999998</v>
      </c>
      <c r="R48" s="53">
        <f t="shared" si="7"/>
        <v>60917.659999999974</v>
      </c>
      <c r="S48" s="53">
        <f t="shared" si="7"/>
        <v>50764.71999999997</v>
      </c>
      <c r="T48" s="53">
        <f t="shared" si="7"/>
        <v>40611.77999999997</v>
      </c>
      <c r="U48" s="53">
        <f t="shared" si="7"/>
        <v>30458.839999999967</v>
      </c>
      <c r="V48" s="53">
        <f t="shared" si="7"/>
        <v>20305.899999999965</v>
      </c>
      <c r="W48" s="53">
        <f t="shared" si="7"/>
        <v>10152.959999999965</v>
      </c>
    </row>
    <row r="49" spans="1:23" ht="13.5" thickBot="1">
      <c r="A49" s="54" t="s">
        <v>82</v>
      </c>
      <c r="B49" s="51"/>
      <c r="C49" s="26"/>
      <c r="D49" s="26">
        <v>0</v>
      </c>
      <c r="E49" s="26">
        <v>0</v>
      </c>
      <c r="F49" s="26">
        <v>0</v>
      </c>
      <c r="G49" s="26">
        <v>10152.94</v>
      </c>
      <c r="H49" s="26">
        <v>10152.94</v>
      </c>
      <c r="I49" s="26">
        <v>10152.94</v>
      </c>
      <c r="J49" s="26">
        <v>10152.94</v>
      </c>
      <c r="K49" s="26">
        <v>10152.94</v>
      </c>
      <c r="L49" s="26">
        <v>10152.94</v>
      </c>
      <c r="M49" s="26">
        <v>10152.94</v>
      </c>
      <c r="N49" s="26">
        <v>10152.94</v>
      </c>
      <c r="O49" s="26">
        <v>10152.94</v>
      </c>
      <c r="P49" s="26">
        <v>10152.94</v>
      </c>
      <c r="Q49" s="26">
        <v>10152.94</v>
      </c>
      <c r="R49" s="26">
        <v>10152.94</v>
      </c>
      <c r="S49" s="26">
        <v>10152.94</v>
      </c>
      <c r="T49" s="26">
        <v>10152.94</v>
      </c>
      <c r="U49" s="26">
        <v>10152.94</v>
      </c>
      <c r="V49" s="26">
        <v>10152.94</v>
      </c>
      <c r="W49" s="26">
        <v>10152.94</v>
      </c>
    </row>
    <row r="50" spans="1:23" ht="12.75">
      <c r="A50" s="54" t="s">
        <v>79</v>
      </c>
      <c r="B50" s="51"/>
      <c r="C50" s="53"/>
      <c r="D50" s="53">
        <f>C48*$C25</f>
        <v>8630</v>
      </c>
      <c r="E50" s="53">
        <f aca="true" t="shared" si="8" ref="E50:W50">D48*$C25</f>
        <v>8630</v>
      </c>
      <c r="F50" s="53">
        <f t="shared" si="8"/>
        <v>8630</v>
      </c>
      <c r="G50" s="53">
        <f t="shared" si="8"/>
        <v>8630</v>
      </c>
      <c r="H50" s="53">
        <f t="shared" si="8"/>
        <v>8630</v>
      </c>
      <c r="I50" s="53">
        <f t="shared" si="8"/>
        <v>8122.353</v>
      </c>
      <c r="J50" s="53">
        <f t="shared" si="8"/>
        <v>7614.706</v>
      </c>
      <c r="K50" s="53">
        <f t="shared" si="8"/>
        <v>7107.059</v>
      </c>
      <c r="L50" s="53">
        <f t="shared" si="8"/>
        <v>6599.412</v>
      </c>
      <c r="M50" s="53">
        <f t="shared" si="8"/>
        <v>6091.764999999999</v>
      </c>
      <c r="N50" s="53">
        <f t="shared" si="8"/>
        <v>5584.1179999999995</v>
      </c>
      <c r="O50" s="53">
        <f t="shared" si="8"/>
        <v>5076.471</v>
      </c>
      <c r="P50" s="53">
        <f t="shared" si="8"/>
        <v>4568.824</v>
      </c>
      <c r="Q50" s="53">
        <f t="shared" si="8"/>
        <v>4061.176999999999</v>
      </c>
      <c r="R50" s="53">
        <f t="shared" si="8"/>
        <v>3553.529999999999</v>
      </c>
      <c r="S50" s="53">
        <f t="shared" si="8"/>
        <v>3045.882999999999</v>
      </c>
      <c r="T50" s="53">
        <f t="shared" si="8"/>
        <v>2538.235999999999</v>
      </c>
      <c r="U50" s="53">
        <f t="shared" si="8"/>
        <v>2030.5889999999986</v>
      </c>
      <c r="V50" s="53">
        <f t="shared" si="8"/>
        <v>1522.9419999999984</v>
      </c>
      <c r="W50" s="53">
        <f t="shared" si="8"/>
        <v>1015.2949999999983</v>
      </c>
    </row>
    <row r="51" spans="1:23" ht="12.75">
      <c r="A51" s="52" t="s">
        <v>77</v>
      </c>
      <c r="B51" s="51"/>
      <c r="C51" s="53">
        <f>C48-C49</f>
        <v>172600</v>
      </c>
      <c r="D51" s="53">
        <f aca="true" t="shared" si="9" ref="D51:U51">D48-D49</f>
        <v>172600</v>
      </c>
      <c r="E51" s="53">
        <f t="shared" si="9"/>
        <v>172600</v>
      </c>
      <c r="F51" s="53">
        <f t="shared" si="9"/>
        <v>172600</v>
      </c>
      <c r="G51" s="53">
        <f t="shared" si="9"/>
        <v>162447.06</v>
      </c>
      <c r="H51" s="53">
        <f t="shared" si="9"/>
        <v>152294.12</v>
      </c>
      <c r="I51" s="53">
        <f t="shared" si="9"/>
        <v>142141.18</v>
      </c>
      <c r="J51" s="53">
        <f t="shared" si="9"/>
        <v>131988.24</v>
      </c>
      <c r="K51" s="53">
        <f t="shared" si="9"/>
        <v>121835.29999999999</v>
      </c>
      <c r="L51" s="53">
        <f t="shared" si="9"/>
        <v>111682.35999999999</v>
      </c>
      <c r="M51" s="53">
        <f t="shared" si="9"/>
        <v>101529.41999999998</v>
      </c>
      <c r="N51" s="53">
        <f t="shared" si="9"/>
        <v>91376.47999999998</v>
      </c>
      <c r="O51" s="53">
        <f t="shared" si="9"/>
        <v>81223.53999999998</v>
      </c>
      <c r="P51" s="53">
        <f t="shared" si="9"/>
        <v>71070.59999999998</v>
      </c>
      <c r="Q51" s="53">
        <f t="shared" si="9"/>
        <v>60917.659999999974</v>
      </c>
      <c r="R51" s="53">
        <f t="shared" si="9"/>
        <v>50764.71999999997</v>
      </c>
      <c r="S51" s="53">
        <f t="shared" si="9"/>
        <v>40611.77999999997</v>
      </c>
      <c r="T51" s="53">
        <f t="shared" si="9"/>
        <v>30458.839999999967</v>
      </c>
      <c r="U51" s="53">
        <f t="shared" si="9"/>
        <v>20305.899999999965</v>
      </c>
      <c r="V51" s="53">
        <f>V48-V49</f>
        <v>10152.959999999965</v>
      </c>
      <c r="W51" s="53">
        <f>W48-W49</f>
        <v>0.01999999996405677</v>
      </c>
    </row>
    <row r="52" spans="1:23" ht="12.75">
      <c r="A52" s="54" t="s">
        <v>80</v>
      </c>
      <c r="B52" s="51"/>
      <c r="C52" s="53">
        <f>C49+C50</f>
        <v>0</v>
      </c>
      <c r="D52" s="53">
        <f aca="true" t="shared" si="10" ref="D52:W52">D49+D50</f>
        <v>8630</v>
      </c>
      <c r="E52" s="53">
        <f t="shared" si="10"/>
        <v>8630</v>
      </c>
      <c r="F52" s="53">
        <f t="shared" si="10"/>
        <v>8630</v>
      </c>
      <c r="G52" s="53">
        <f t="shared" si="10"/>
        <v>18782.940000000002</v>
      </c>
      <c r="H52" s="53">
        <f t="shared" si="10"/>
        <v>18782.940000000002</v>
      </c>
      <c r="I52" s="53">
        <f t="shared" si="10"/>
        <v>18275.293</v>
      </c>
      <c r="J52" s="53">
        <f t="shared" si="10"/>
        <v>17767.646</v>
      </c>
      <c r="K52" s="53">
        <f t="shared" si="10"/>
        <v>17259.999</v>
      </c>
      <c r="L52" s="53">
        <f t="shared" si="10"/>
        <v>16752.352</v>
      </c>
      <c r="M52" s="53">
        <f t="shared" si="10"/>
        <v>16244.705</v>
      </c>
      <c r="N52" s="53">
        <f t="shared" si="10"/>
        <v>15737.058</v>
      </c>
      <c r="O52" s="53">
        <f t="shared" si="10"/>
        <v>15229.411</v>
      </c>
      <c r="P52" s="53">
        <f t="shared" si="10"/>
        <v>14721.764</v>
      </c>
      <c r="Q52" s="53">
        <f t="shared" si="10"/>
        <v>14214.117</v>
      </c>
      <c r="R52" s="53">
        <f t="shared" si="10"/>
        <v>13706.47</v>
      </c>
      <c r="S52" s="53">
        <f t="shared" si="10"/>
        <v>13198.823</v>
      </c>
      <c r="T52" s="53">
        <f t="shared" si="10"/>
        <v>12691.176</v>
      </c>
      <c r="U52" s="53">
        <f t="shared" si="10"/>
        <v>12183.528999999999</v>
      </c>
      <c r="V52" s="53">
        <f t="shared" si="10"/>
        <v>11675.882</v>
      </c>
      <c r="W52" s="53">
        <f t="shared" si="10"/>
        <v>11168.234999999999</v>
      </c>
    </row>
    <row r="53" spans="2:22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ht="13.5" thickBot="1"/>
    <row r="55" spans="1:24" ht="12.75">
      <c r="A55" s="18" t="s">
        <v>27</v>
      </c>
      <c r="B55" s="18"/>
      <c r="C55" s="14" t="s">
        <v>159</v>
      </c>
      <c r="D55" s="14" t="s">
        <v>6</v>
      </c>
      <c r="E55" s="14" t="s">
        <v>7</v>
      </c>
      <c r="F55" s="14" t="s">
        <v>8</v>
      </c>
      <c r="G55" s="14" t="s">
        <v>9</v>
      </c>
      <c r="H55" s="14" t="s">
        <v>10</v>
      </c>
      <c r="I55" s="14" t="s">
        <v>11</v>
      </c>
      <c r="J55" s="14" t="s">
        <v>12</v>
      </c>
      <c r="K55" s="14" t="s">
        <v>13</v>
      </c>
      <c r="L55" s="14" t="s">
        <v>14</v>
      </c>
      <c r="M55" s="14" t="s">
        <v>15</v>
      </c>
      <c r="N55" s="14" t="s">
        <v>16</v>
      </c>
      <c r="O55" s="14" t="s">
        <v>17</v>
      </c>
      <c r="P55" s="14" t="s">
        <v>18</v>
      </c>
      <c r="Q55" s="14" t="s">
        <v>19</v>
      </c>
      <c r="R55" s="14" t="s">
        <v>20</v>
      </c>
      <c r="S55" s="14" t="s">
        <v>21</v>
      </c>
      <c r="T55" s="14" t="s">
        <v>22</v>
      </c>
      <c r="U55" s="14" t="s">
        <v>23</v>
      </c>
      <c r="V55" s="14" t="s">
        <v>24</v>
      </c>
      <c r="W55" s="14" t="s">
        <v>25</v>
      </c>
      <c r="X55" s="11"/>
    </row>
    <row r="56" spans="1:24" ht="12.75">
      <c r="A56" s="19"/>
      <c r="B56" s="19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2"/>
    </row>
    <row r="57" spans="1:24" ht="12.75">
      <c r="A57" s="56" t="s">
        <v>51</v>
      </c>
      <c r="B57" s="56"/>
      <c r="C57" s="57">
        <f>C50</f>
        <v>0</v>
      </c>
      <c r="D57" s="57">
        <f>D50</f>
        <v>8630</v>
      </c>
      <c r="E57" s="57">
        <f aca="true" t="shared" si="11" ref="E57:V57">E50</f>
        <v>8630</v>
      </c>
      <c r="F57" s="57">
        <f t="shared" si="11"/>
        <v>8630</v>
      </c>
      <c r="G57" s="57">
        <f t="shared" si="11"/>
        <v>8630</v>
      </c>
      <c r="H57" s="57">
        <f t="shared" si="11"/>
        <v>8630</v>
      </c>
      <c r="I57" s="57">
        <f t="shared" si="11"/>
        <v>8122.353</v>
      </c>
      <c r="J57" s="57">
        <f t="shared" si="11"/>
        <v>7614.706</v>
      </c>
      <c r="K57" s="57">
        <f t="shared" si="11"/>
        <v>7107.059</v>
      </c>
      <c r="L57" s="57">
        <f t="shared" si="11"/>
        <v>6599.412</v>
      </c>
      <c r="M57" s="57">
        <f t="shared" si="11"/>
        <v>6091.764999999999</v>
      </c>
      <c r="N57" s="57">
        <f t="shared" si="11"/>
        <v>5584.1179999999995</v>
      </c>
      <c r="O57" s="57">
        <f t="shared" si="11"/>
        <v>5076.471</v>
      </c>
      <c r="P57" s="57">
        <f t="shared" si="11"/>
        <v>4568.824</v>
      </c>
      <c r="Q57" s="57">
        <f t="shared" si="11"/>
        <v>4061.176999999999</v>
      </c>
      <c r="R57" s="57">
        <f t="shared" si="11"/>
        <v>3553.529999999999</v>
      </c>
      <c r="S57" s="57">
        <f t="shared" si="11"/>
        <v>3045.882999999999</v>
      </c>
      <c r="T57" s="57">
        <f t="shared" si="11"/>
        <v>2538.235999999999</v>
      </c>
      <c r="U57" s="57">
        <f t="shared" si="11"/>
        <v>2030.5889999999986</v>
      </c>
      <c r="V57" s="57">
        <f t="shared" si="11"/>
        <v>1522.9419999999984</v>
      </c>
      <c r="W57" s="57">
        <f>W50</f>
        <v>1015.2949999999983</v>
      </c>
      <c r="X57" s="8"/>
    </row>
    <row r="58" spans="1:24" ht="12.75">
      <c r="A58" s="56" t="s">
        <v>81</v>
      </c>
      <c r="B58" s="56"/>
      <c r="C58" s="57">
        <f>C49</f>
        <v>0</v>
      </c>
      <c r="D58" s="57">
        <f>D49</f>
        <v>0</v>
      </c>
      <c r="E58" s="57">
        <f aca="true" t="shared" si="12" ref="E58:V58">E49</f>
        <v>0</v>
      </c>
      <c r="F58" s="57">
        <f t="shared" si="12"/>
        <v>0</v>
      </c>
      <c r="G58" s="57">
        <f t="shared" si="12"/>
        <v>10152.94</v>
      </c>
      <c r="H58" s="57">
        <f t="shared" si="12"/>
        <v>10152.94</v>
      </c>
      <c r="I58" s="57">
        <f t="shared" si="12"/>
        <v>10152.94</v>
      </c>
      <c r="J58" s="57">
        <f t="shared" si="12"/>
        <v>10152.94</v>
      </c>
      <c r="K58" s="57">
        <f t="shared" si="12"/>
        <v>10152.94</v>
      </c>
      <c r="L58" s="57">
        <f t="shared" si="12"/>
        <v>10152.94</v>
      </c>
      <c r="M58" s="57">
        <f t="shared" si="12"/>
        <v>10152.94</v>
      </c>
      <c r="N58" s="57">
        <f t="shared" si="12"/>
        <v>10152.94</v>
      </c>
      <c r="O58" s="57">
        <f t="shared" si="12"/>
        <v>10152.94</v>
      </c>
      <c r="P58" s="57">
        <f t="shared" si="12"/>
        <v>10152.94</v>
      </c>
      <c r="Q58" s="57">
        <f t="shared" si="12"/>
        <v>10152.94</v>
      </c>
      <c r="R58" s="57">
        <f t="shared" si="12"/>
        <v>10152.94</v>
      </c>
      <c r="S58" s="57">
        <f t="shared" si="12"/>
        <v>10152.94</v>
      </c>
      <c r="T58" s="57">
        <f t="shared" si="12"/>
        <v>10152.94</v>
      </c>
      <c r="U58" s="57">
        <f t="shared" si="12"/>
        <v>10152.94</v>
      </c>
      <c r="V58" s="57">
        <f t="shared" si="12"/>
        <v>10152.94</v>
      </c>
      <c r="W58" s="57">
        <f>W49</f>
        <v>10152.94</v>
      </c>
      <c r="X58" s="8"/>
    </row>
    <row r="59" spans="1:24" ht="12.75">
      <c r="A59" s="67" t="s">
        <v>149</v>
      </c>
      <c r="B59" s="56"/>
      <c r="C59" s="57">
        <f>25%*(C77-C75)</f>
        <v>6508.4400000000005</v>
      </c>
      <c r="D59" s="57">
        <f aca="true" t="shared" si="13" ref="D59:V59">25%*D77</f>
        <v>6652.892462999999</v>
      </c>
      <c r="E59" s="57">
        <f t="shared" si="13"/>
        <v>6800.37118055</v>
      </c>
      <c r="F59" s="57">
        <f t="shared" si="13"/>
        <v>6950.930606844125</v>
      </c>
      <c r="G59" s="57">
        <f t="shared" si="13"/>
        <v>7104.625724602191</v>
      </c>
      <c r="H59" s="57">
        <f t="shared" si="13"/>
        <v>7261.512024323166</v>
      </c>
      <c r="I59" s="57">
        <f t="shared" si="13"/>
        <v>7421.645481622133</v>
      </c>
      <c r="J59" s="57">
        <f t="shared" si="13"/>
        <v>7585.082532545604</v>
      </c>
      <c r="K59" s="57">
        <f t="shared" si="13"/>
        <v>7751.880046755034</v>
      </c>
      <c r="L59" s="57">
        <f t="shared" si="13"/>
        <v>7922.095298463225</v>
      </c>
      <c r="M59" s="57">
        <f t="shared" si="13"/>
        <v>8095.78593500297</v>
      </c>
      <c r="N59" s="57">
        <f t="shared" si="13"/>
        <v>8273.009942901554</v>
      </c>
      <c r="O59" s="57">
        <f t="shared" si="13"/>
        <v>8453.825611328954</v>
      </c>
      <c r="P59" s="57">
        <f t="shared" si="13"/>
        <v>8638.291492781398</v>
      </c>
      <c r="Q59" s="57">
        <f t="shared" si="13"/>
        <v>8826.466360855557</v>
      </c>
      <c r="R59" s="57">
        <f t="shared" si="13"/>
        <v>9018.409164961964</v>
      </c>
      <c r="S59" s="57">
        <f t="shared" si="13"/>
        <v>9214.178981819316</v>
      </c>
      <c r="T59" s="57">
        <f t="shared" si="13"/>
        <v>9413.83496356399</v>
      </c>
      <c r="U59" s="57">
        <f t="shared" si="13"/>
        <v>9617.436282301647</v>
      </c>
      <c r="V59" s="57">
        <f t="shared" si="13"/>
        <v>9825.042070919733</v>
      </c>
      <c r="W59" s="57">
        <f>25%*W77</f>
        <v>10036.711359971563</v>
      </c>
      <c r="X59" s="66"/>
    </row>
    <row r="60" spans="1:24" ht="12.75">
      <c r="A60" s="67" t="s">
        <v>113</v>
      </c>
      <c r="B60" s="56"/>
      <c r="C60" s="57">
        <v>1200</v>
      </c>
      <c r="D60" s="57">
        <f>C60*1.025</f>
        <v>1230</v>
      </c>
      <c r="E60" s="57">
        <f aca="true" t="shared" si="14" ref="E60:W60">D60*1.025</f>
        <v>1260.75</v>
      </c>
      <c r="F60" s="57">
        <f t="shared" si="14"/>
        <v>1292.26875</v>
      </c>
      <c r="G60" s="57">
        <f t="shared" si="14"/>
        <v>1324.5754687499998</v>
      </c>
      <c r="H60" s="57">
        <f t="shared" si="14"/>
        <v>1357.6898554687498</v>
      </c>
      <c r="I60" s="57">
        <f t="shared" si="14"/>
        <v>1391.6321018554684</v>
      </c>
      <c r="J60" s="57">
        <f t="shared" si="14"/>
        <v>1426.422904401855</v>
      </c>
      <c r="K60" s="57">
        <f t="shared" si="14"/>
        <v>1462.0834770119013</v>
      </c>
      <c r="L60" s="57">
        <f t="shared" si="14"/>
        <v>1498.6355639371986</v>
      </c>
      <c r="M60" s="57">
        <f t="shared" si="14"/>
        <v>1536.1014530356285</v>
      </c>
      <c r="N60" s="57">
        <f t="shared" si="14"/>
        <v>1574.5039893615192</v>
      </c>
      <c r="O60" s="57">
        <f t="shared" si="14"/>
        <v>1613.866589095557</v>
      </c>
      <c r="P60" s="57">
        <f t="shared" si="14"/>
        <v>1654.2132538229457</v>
      </c>
      <c r="Q60" s="57">
        <f t="shared" si="14"/>
        <v>1695.5685851685191</v>
      </c>
      <c r="R60" s="57">
        <f t="shared" si="14"/>
        <v>1737.957799797732</v>
      </c>
      <c r="S60" s="57">
        <f t="shared" si="14"/>
        <v>1781.406744792675</v>
      </c>
      <c r="T60" s="57">
        <f t="shared" si="14"/>
        <v>1825.9419134124917</v>
      </c>
      <c r="U60" s="57">
        <f t="shared" si="14"/>
        <v>1871.590461247804</v>
      </c>
      <c r="V60" s="57">
        <f t="shared" si="14"/>
        <v>1918.3802227789988</v>
      </c>
      <c r="W60" s="57">
        <f t="shared" si="14"/>
        <v>1966.3397283484737</v>
      </c>
      <c r="X60" s="66"/>
    </row>
    <row r="61" spans="1:24" ht="12.75">
      <c r="A61" s="67" t="s">
        <v>92</v>
      </c>
      <c r="B61" s="56"/>
      <c r="C61" s="57"/>
      <c r="D61" s="57"/>
      <c r="E61" s="57"/>
      <c r="F61" s="57"/>
      <c r="G61" s="57"/>
      <c r="H61" s="57"/>
      <c r="I61" s="57"/>
      <c r="J61" s="57"/>
      <c r="K61" s="57">
        <f>D30</f>
        <v>3452</v>
      </c>
      <c r="L61" s="57">
        <f>D30</f>
        <v>3452</v>
      </c>
      <c r="M61" s="57">
        <f>D30</f>
        <v>3452</v>
      </c>
      <c r="N61" s="57">
        <f>D30</f>
        <v>3452</v>
      </c>
      <c r="O61" s="57">
        <f>D30</f>
        <v>3452</v>
      </c>
      <c r="P61" s="57">
        <f>D30</f>
        <v>3452</v>
      </c>
      <c r="Q61" s="57"/>
      <c r="R61" s="57"/>
      <c r="S61" s="57"/>
      <c r="T61" s="57"/>
      <c r="U61" s="57"/>
      <c r="V61" s="57"/>
      <c r="W61" s="57"/>
      <c r="X61" s="66"/>
    </row>
    <row r="62" spans="1:24" ht="12.75">
      <c r="A62" s="20" t="s">
        <v>130</v>
      </c>
      <c r="B62" s="20"/>
      <c r="C62" s="16">
        <f>C12/3</f>
        <v>6333.333333333333</v>
      </c>
      <c r="D62" s="16">
        <f>C12/3</f>
        <v>6333.333333333333</v>
      </c>
      <c r="E62" s="16">
        <f>C12/3</f>
        <v>6333.333333333333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8"/>
    </row>
    <row r="63" spans="1:24" ht="12.75">
      <c r="A63" s="20"/>
      <c r="B63" s="114" t="s">
        <v>65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8"/>
    </row>
    <row r="64" spans="1:24" ht="12.75">
      <c r="A64" s="20"/>
      <c r="B64" s="114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8"/>
    </row>
    <row r="65" spans="1:24" ht="12.75">
      <c r="A65" s="20" t="s">
        <v>31</v>
      </c>
      <c r="B65" s="20"/>
      <c r="C65" s="7">
        <f>SUM(C57:C64)</f>
        <v>14041.773333333334</v>
      </c>
      <c r="D65" s="7">
        <f>SUM(D57:D64)</f>
        <v>22846.225796333332</v>
      </c>
      <c r="E65" s="7">
        <f aca="true" t="shared" si="15" ref="E65:V65">SUM(E57:E64)</f>
        <v>23024.45451388333</v>
      </c>
      <c r="F65" s="7">
        <f t="shared" si="15"/>
        <v>16873.199356844125</v>
      </c>
      <c r="G65" s="7">
        <f t="shared" si="15"/>
        <v>27212.141193352196</v>
      </c>
      <c r="H65" s="7">
        <f t="shared" si="15"/>
        <v>27402.141879791918</v>
      </c>
      <c r="I65" s="7">
        <f t="shared" si="15"/>
        <v>27088.570583477605</v>
      </c>
      <c r="J65" s="7">
        <f t="shared" si="15"/>
        <v>26779.151436947457</v>
      </c>
      <c r="K65" s="7">
        <f t="shared" si="15"/>
        <v>29925.962523766935</v>
      </c>
      <c r="L65" s="7">
        <f t="shared" si="15"/>
        <v>29625.08286240042</v>
      </c>
      <c r="M65" s="7">
        <f t="shared" si="15"/>
        <v>29328.5923880386</v>
      </c>
      <c r="N65" s="7">
        <f t="shared" si="15"/>
        <v>29036.571932263072</v>
      </c>
      <c r="O65" s="7">
        <f t="shared" si="15"/>
        <v>28749.10320042451</v>
      </c>
      <c r="P65" s="7">
        <f t="shared" si="15"/>
        <v>28466.268746604343</v>
      </c>
      <c r="Q65" s="7">
        <f t="shared" si="15"/>
        <v>24736.151946024074</v>
      </c>
      <c r="R65" s="7">
        <f t="shared" si="15"/>
        <v>24462.836964759696</v>
      </c>
      <c r="S65" s="7">
        <f t="shared" si="15"/>
        <v>24194.408726611993</v>
      </c>
      <c r="T65" s="7">
        <f t="shared" si="15"/>
        <v>23930.95287697648</v>
      </c>
      <c r="U65" s="7">
        <f t="shared" si="15"/>
        <v>23672.55574354945</v>
      </c>
      <c r="V65" s="7">
        <f t="shared" si="15"/>
        <v>23419.304293698733</v>
      </c>
      <c r="W65" s="7">
        <f>SUM(W57:W64)</f>
        <v>23171.286088320034</v>
      </c>
      <c r="X65" s="8"/>
    </row>
    <row r="66" spans="1:24" ht="12.75">
      <c r="A66" s="20"/>
      <c r="B66" s="20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8"/>
    </row>
    <row r="67" spans="1:24" ht="12.75">
      <c r="A67" s="21" t="s">
        <v>28</v>
      </c>
      <c r="B67" s="21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8"/>
    </row>
    <row r="68" spans="1:24" ht="12.75">
      <c r="A68" s="20"/>
      <c r="B68" s="114" t="s">
        <v>64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8"/>
    </row>
    <row r="69" spans="1:24" ht="12.75">
      <c r="A69" s="20" t="s">
        <v>29</v>
      </c>
      <c r="B69" s="114"/>
      <c r="C69" s="16">
        <f>$C$18*B34*B41</f>
        <v>13188.720000000003</v>
      </c>
      <c r="D69" s="16">
        <f aca="true" t="shared" si="16" ref="D69:W69">$C$18*C34*C41</f>
        <v>13423.808934</v>
      </c>
      <c r="E69" s="16">
        <f t="shared" si="16"/>
        <v>13662.409364700003</v>
      </c>
      <c r="F69" s="16">
        <f t="shared" si="16"/>
        <v>13904.549936351252</v>
      </c>
      <c r="G69" s="16">
        <f t="shared" si="16"/>
        <v>14150.258530732124</v>
      </c>
      <c r="H69" s="16">
        <f t="shared" si="16"/>
        <v>14399.562211121824</v>
      </c>
      <c r="I69" s="16">
        <f t="shared" si="16"/>
        <v>14652.487163949298</v>
      </c>
      <c r="J69" s="16">
        <f t="shared" si="16"/>
        <v>14909.058638036195</v>
      </c>
      <c r="K69" s="16">
        <f t="shared" si="16"/>
        <v>15169.300881349971</v>
      </c>
      <c r="L69" s="16">
        <f t="shared" si="16"/>
        <v>15433.23707518066</v>
      </c>
      <c r="M69" s="16">
        <f t="shared" si="16"/>
        <v>15700.889265652038</v>
      </c>
      <c r="N69" s="16">
        <f t="shared" si="16"/>
        <v>15972.278292475003</v>
      </c>
      <c r="O69" s="16">
        <f t="shared" si="16"/>
        <v>16247.42371484808</v>
      </c>
      <c r="P69" s="16">
        <f t="shared" si="16"/>
        <v>16526.343734407015</v>
      </c>
      <c r="Q69" s="16">
        <f t="shared" si="16"/>
        <v>16809.05511512212</v>
      </c>
      <c r="R69" s="16">
        <f t="shared" si="16"/>
        <v>17095.57310003897</v>
      </c>
      <c r="S69" s="16">
        <f t="shared" si="16"/>
        <v>17385.911324754714</v>
      </c>
      <c r="T69" s="16">
        <f t="shared" si="16"/>
        <v>17680.081727518722</v>
      </c>
      <c r="U69" s="16">
        <f t="shared" si="16"/>
        <v>17978.094455842955</v>
      </c>
      <c r="V69" s="16">
        <f t="shared" si="16"/>
        <v>18279.957769503704</v>
      </c>
      <c r="W69" s="16">
        <f t="shared" si="16"/>
        <v>18585.677939812587</v>
      </c>
      <c r="X69" s="8"/>
    </row>
    <row r="70" spans="1:24" ht="12.75">
      <c r="A70" s="20"/>
      <c r="B70" s="11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8"/>
    </row>
    <row r="71" spans="1:24" ht="25.5">
      <c r="A71" s="20" t="s">
        <v>106</v>
      </c>
      <c r="B71" s="65" t="s">
        <v>107</v>
      </c>
      <c r="C71" s="16">
        <f>C85</f>
        <v>11456</v>
      </c>
      <c r="D71" s="16">
        <f>D85</f>
        <v>11773.961279999998</v>
      </c>
      <c r="E71" s="16">
        <f aca="true" t="shared" si="17" ref="E71:V71">E85</f>
        <v>12100.146249599999</v>
      </c>
      <c r="F71" s="16">
        <f t="shared" si="17"/>
        <v>12434.741064503996</v>
      </c>
      <c r="G71" s="16">
        <f t="shared" si="17"/>
        <v>12777.934837295516</v>
      </c>
      <c r="H71" s="16">
        <f t="shared" si="17"/>
        <v>13129.919616378422</v>
      </c>
      <c r="I71" s="16">
        <f t="shared" si="17"/>
        <v>13490.890359821447</v>
      </c>
      <c r="J71" s="16">
        <f t="shared" si="17"/>
        <v>13861.044903775419</v>
      </c>
      <c r="K71" s="16">
        <f t="shared" si="17"/>
        <v>14240.58392511539</v>
      </c>
      <c r="L71" s="16">
        <f t="shared" si="17"/>
        <v>14629.71089794203</v>
      </c>
      <c r="M71" s="16">
        <f t="shared" si="17"/>
        <v>15028.632043558273</v>
      </c>
      <c r="N71" s="16">
        <f t="shared" si="17"/>
        <v>15437.55627351767</v>
      </c>
      <c r="O71" s="16">
        <f t="shared" si="17"/>
        <v>15856.69512532087</v>
      </c>
      <c r="P71" s="16">
        <f t="shared" si="17"/>
        <v>16286.26269031523</v>
      </c>
      <c r="Q71" s="16">
        <f t="shared" si="17"/>
        <v>16726.475533330682</v>
      </c>
      <c r="R71" s="16">
        <f t="shared" si="17"/>
        <v>17177.552603561573</v>
      </c>
      <c r="S71" s="16">
        <f t="shared" si="17"/>
        <v>17639.7151361803</v>
      </c>
      <c r="T71" s="16">
        <f t="shared" si="17"/>
        <v>18113.18654414298</v>
      </c>
      <c r="U71" s="16">
        <f t="shared" si="17"/>
        <v>18598.19229962122</v>
      </c>
      <c r="V71" s="16">
        <f t="shared" si="17"/>
        <v>19094.959804466365</v>
      </c>
      <c r="W71" s="16">
        <f>W85</f>
        <v>19603.71824908363</v>
      </c>
      <c r="X71" s="8"/>
    </row>
    <row r="72" spans="1:24" ht="12.75">
      <c r="A72" s="20"/>
      <c r="B72" s="6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8"/>
    </row>
    <row r="73" spans="1:24" ht="12.75">
      <c r="A73" s="20" t="s">
        <v>36</v>
      </c>
      <c r="B73" s="65" t="s">
        <v>128</v>
      </c>
      <c r="C73" s="16">
        <f aca="true" t="shared" si="18" ref="C73:W73">$C$22*B34*B41</f>
        <v>1389.0399999999997</v>
      </c>
      <c r="D73" s="16">
        <f t="shared" si="18"/>
        <v>1413.7996379999997</v>
      </c>
      <c r="E73" s="16">
        <f t="shared" si="18"/>
        <v>1438.9291078999995</v>
      </c>
      <c r="F73" s="16">
        <f t="shared" si="18"/>
        <v>1464.4314265212495</v>
      </c>
      <c r="G73" s="16">
        <f t="shared" si="18"/>
        <v>1490.3095303811244</v>
      </c>
      <c r="H73" s="16">
        <f t="shared" si="18"/>
        <v>1516.5662697924172</v>
      </c>
      <c r="I73" s="16">
        <f t="shared" si="18"/>
        <v>1543.2044027177865</v>
      </c>
      <c r="J73" s="16">
        <f t="shared" si="18"/>
        <v>1570.226588370804</v>
      </c>
      <c r="K73" s="16">
        <f t="shared" si="18"/>
        <v>1597.6353805547735</v>
      </c>
      <c r="L73" s="16">
        <f t="shared" si="18"/>
        <v>1625.4332207302098</v>
      </c>
      <c r="M73" s="16">
        <f t="shared" si="18"/>
        <v>1653.6224308015715</v>
      </c>
      <c r="N73" s="16">
        <f t="shared" si="18"/>
        <v>1682.2052056135446</v>
      </c>
      <c r="O73" s="16">
        <f t="shared" si="18"/>
        <v>1711.1836051468656</v>
      </c>
      <c r="P73" s="16">
        <f t="shared" si="18"/>
        <v>1740.5595464033443</v>
      </c>
      <c r="Q73" s="16">
        <f t="shared" si="18"/>
        <v>1770.3347949694296</v>
      </c>
      <c r="R73" s="16">
        <f t="shared" si="18"/>
        <v>1800.5109562473176</v>
      </c>
      <c r="S73" s="16">
        <f t="shared" si="18"/>
        <v>1831.0894663422441</v>
      </c>
      <c r="T73" s="16">
        <f t="shared" si="18"/>
        <v>1862.0715825942618</v>
      </c>
      <c r="U73" s="16">
        <f t="shared" si="18"/>
        <v>1893.458373742417</v>
      </c>
      <c r="V73" s="16">
        <f t="shared" si="18"/>
        <v>1925.2507097088585</v>
      </c>
      <c r="W73" s="16">
        <f t="shared" si="18"/>
        <v>1957.4492509900326</v>
      </c>
      <c r="X73" s="8"/>
    </row>
    <row r="74" spans="1:24" ht="12.75">
      <c r="A74" s="20"/>
      <c r="B74" s="6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8"/>
    </row>
    <row r="75" spans="1:24" ht="12.75">
      <c r="A75" s="20" t="s">
        <v>127</v>
      </c>
      <c r="B75" s="6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8"/>
    </row>
    <row r="76" spans="1:24" ht="12.75">
      <c r="A76" s="20"/>
      <c r="B76" s="6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8"/>
    </row>
    <row r="77" spans="1:24" ht="12.75">
      <c r="A77" s="20" t="s">
        <v>32</v>
      </c>
      <c r="B77" s="20"/>
      <c r="C77" s="7">
        <f>SUM(C69+C71+C73+C75)</f>
        <v>26033.760000000002</v>
      </c>
      <c r="D77" s="7">
        <f aca="true" t="shared" si="19" ref="D77:V77">SUM(D69+D71+D73)</f>
        <v>26611.569851999997</v>
      </c>
      <c r="E77" s="7">
        <f t="shared" si="19"/>
        <v>27201.4847222</v>
      </c>
      <c r="F77" s="7">
        <f t="shared" si="19"/>
        <v>27803.7224273765</v>
      </c>
      <c r="G77" s="7">
        <f t="shared" si="19"/>
        <v>28418.502898408766</v>
      </c>
      <c r="H77" s="7">
        <f t="shared" si="19"/>
        <v>29046.048097292663</v>
      </c>
      <c r="I77" s="7">
        <f t="shared" si="19"/>
        <v>29686.581926488532</v>
      </c>
      <c r="J77" s="7">
        <f t="shared" si="19"/>
        <v>30340.330130182418</v>
      </c>
      <c r="K77" s="7">
        <f t="shared" si="19"/>
        <v>31007.520187020134</v>
      </c>
      <c r="L77" s="7">
        <f t="shared" si="19"/>
        <v>31688.3811938529</v>
      </c>
      <c r="M77" s="7">
        <f t="shared" si="19"/>
        <v>32383.14374001188</v>
      </c>
      <c r="N77" s="7">
        <f t="shared" si="19"/>
        <v>33092.039771606214</v>
      </c>
      <c r="O77" s="7">
        <f t="shared" si="19"/>
        <v>33815.302445315814</v>
      </c>
      <c r="P77" s="7">
        <f t="shared" si="19"/>
        <v>34553.16597112559</v>
      </c>
      <c r="Q77" s="7">
        <f t="shared" si="19"/>
        <v>35305.865443422226</v>
      </c>
      <c r="R77" s="7">
        <f t="shared" si="19"/>
        <v>36073.636659847856</v>
      </c>
      <c r="S77" s="7">
        <f t="shared" si="19"/>
        <v>36856.71592727726</v>
      </c>
      <c r="T77" s="7">
        <f t="shared" si="19"/>
        <v>37655.33985425596</v>
      </c>
      <c r="U77" s="7">
        <f t="shared" si="19"/>
        <v>38469.74512920659</v>
      </c>
      <c r="V77" s="7">
        <f t="shared" si="19"/>
        <v>39300.16828367893</v>
      </c>
      <c r="W77" s="7">
        <f>SUM(W69+W71+W73)</f>
        <v>40146.84543988625</v>
      </c>
      <c r="X77" s="8"/>
    </row>
    <row r="78" spans="1:24" ht="12.75">
      <c r="A78" s="19"/>
      <c r="B78" s="19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2"/>
    </row>
    <row r="79" spans="1:24" ht="12.75">
      <c r="A79" s="19" t="s">
        <v>33</v>
      </c>
      <c r="B79" s="19"/>
      <c r="C79" s="16">
        <f>C77-C65</f>
        <v>11991.986666666668</v>
      </c>
      <c r="D79" s="16">
        <f aca="true" t="shared" si="20" ref="D79:V79">D77-D65</f>
        <v>3765.3440556666646</v>
      </c>
      <c r="E79" s="16">
        <f t="shared" si="20"/>
        <v>4177.030208316668</v>
      </c>
      <c r="F79" s="16">
        <f t="shared" si="20"/>
        <v>10930.523070532374</v>
      </c>
      <c r="G79" s="16">
        <f t="shared" si="20"/>
        <v>1206.36170505657</v>
      </c>
      <c r="H79" s="16">
        <f t="shared" si="20"/>
        <v>1643.9062175007457</v>
      </c>
      <c r="I79" s="16">
        <f t="shared" si="20"/>
        <v>2598.011343010927</v>
      </c>
      <c r="J79" s="16">
        <f t="shared" si="20"/>
        <v>3561.1786932349605</v>
      </c>
      <c r="K79" s="16">
        <f t="shared" si="20"/>
        <v>1081.5576632531993</v>
      </c>
      <c r="L79" s="16">
        <f t="shared" si="20"/>
        <v>2063.298331452479</v>
      </c>
      <c r="M79" s="16">
        <f t="shared" si="20"/>
        <v>3054.5513519732813</v>
      </c>
      <c r="N79" s="16">
        <f t="shared" si="20"/>
        <v>4055.4678393431423</v>
      </c>
      <c r="O79" s="16">
        <f t="shared" si="20"/>
        <v>5066.199244891304</v>
      </c>
      <c r="P79" s="16">
        <f t="shared" si="20"/>
        <v>6086.89722452125</v>
      </c>
      <c r="Q79" s="16">
        <f t="shared" si="20"/>
        <v>10569.713497398152</v>
      </c>
      <c r="R79" s="16">
        <f t="shared" si="20"/>
        <v>11610.79969508816</v>
      </c>
      <c r="S79" s="16">
        <f t="shared" si="20"/>
        <v>12662.30720066527</v>
      </c>
      <c r="T79" s="16">
        <f t="shared" si="20"/>
        <v>13724.386977279479</v>
      </c>
      <c r="U79" s="16">
        <f t="shared" si="20"/>
        <v>14797.18938565714</v>
      </c>
      <c r="V79" s="16">
        <f t="shared" si="20"/>
        <v>15880.8639899802</v>
      </c>
      <c r="W79" s="16">
        <f>W77-W65</f>
        <v>16975.55935156622</v>
      </c>
      <c r="X79" s="12"/>
    </row>
    <row r="80" spans="1:24" ht="12.75">
      <c r="A80" s="19"/>
      <c r="B80" s="19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2"/>
    </row>
    <row r="81" spans="1:24" ht="13.5" thickBot="1">
      <c r="A81" s="22" t="s">
        <v>34</v>
      </c>
      <c r="B81" s="22"/>
      <c r="C81" s="17">
        <f>C79</f>
        <v>11991.986666666668</v>
      </c>
      <c r="D81" s="17">
        <f aca="true" t="shared" si="21" ref="D81:W81">D79+C81</f>
        <v>15757.330722333332</v>
      </c>
      <c r="E81" s="17">
        <f t="shared" si="21"/>
        <v>19934.36093065</v>
      </c>
      <c r="F81" s="17">
        <f t="shared" si="21"/>
        <v>30864.884001182374</v>
      </c>
      <c r="G81" s="17">
        <f t="shared" si="21"/>
        <v>32071.245706238944</v>
      </c>
      <c r="H81" s="17">
        <f t="shared" si="21"/>
        <v>33715.151923739686</v>
      </c>
      <c r="I81" s="17">
        <f t="shared" si="21"/>
        <v>36313.16326675061</v>
      </c>
      <c r="J81" s="17">
        <f t="shared" si="21"/>
        <v>39874.34195998557</v>
      </c>
      <c r="K81" s="17">
        <f t="shared" si="21"/>
        <v>40955.89962323877</v>
      </c>
      <c r="L81" s="17">
        <f t="shared" si="21"/>
        <v>43019.19795469125</v>
      </c>
      <c r="M81" s="17">
        <f t="shared" si="21"/>
        <v>46073.749306664526</v>
      </c>
      <c r="N81" s="17">
        <f t="shared" si="21"/>
        <v>50129.217146007664</v>
      </c>
      <c r="O81" s="17">
        <f t="shared" si="21"/>
        <v>55195.41639089897</v>
      </c>
      <c r="P81" s="17">
        <f t="shared" si="21"/>
        <v>61282.31361542022</v>
      </c>
      <c r="Q81" s="17">
        <f t="shared" si="21"/>
        <v>71852.02711281838</v>
      </c>
      <c r="R81" s="17">
        <f t="shared" si="21"/>
        <v>83462.82680790655</v>
      </c>
      <c r="S81" s="17">
        <f t="shared" si="21"/>
        <v>96125.13400857181</v>
      </c>
      <c r="T81" s="17">
        <f t="shared" si="21"/>
        <v>109849.5209858513</v>
      </c>
      <c r="U81" s="17">
        <f t="shared" si="21"/>
        <v>124646.71037150844</v>
      </c>
      <c r="V81" s="17">
        <f t="shared" si="21"/>
        <v>140527.57436148863</v>
      </c>
      <c r="W81" s="17">
        <f t="shared" si="21"/>
        <v>157503.13371305485</v>
      </c>
      <c r="X81" s="13"/>
    </row>
    <row r="85" spans="1:24" ht="12.75">
      <c r="A85" s="42" t="s">
        <v>110</v>
      </c>
      <c r="B85" s="115" t="s">
        <v>66</v>
      </c>
      <c r="C85" s="16">
        <f>$C$20*B34*B38</f>
        <v>11456</v>
      </c>
      <c r="D85" s="16">
        <f aca="true" t="shared" si="22" ref="D85:W85">$C$20*C34*C38</f>
        <v>11773.961279999998</v>
      </c>
      <c r="E85" s="16">
        <f t="shared" si="22"/>
        <v>12100.146249599999</v>
      </c>
      <c r="F85" s="16">
        <f t="shared" si="22"/>
        <v>12434.741064503996</v>
      </c>
      <c r="G85" s="16">
        <f t="shared" si="22"/>
        <v>12777.934837295516</v>
      </c>
      <c r="H85" s="16">
        <f t="shared" si="22"/>
        <v>13129.919616378422</v>
      </c>
      <c r="I85" s="16">
        <f t="shared" si="22"/>
        <v>13490.890359821447</v>
      </c>
      <c r="J85" s="16">
        <f t="shared" si="22"/>
        <v>13861.044903775419</v>
      </c>
      <c r="K85" s="16">
        <f t="shared" si="22"/>
        <v>14240.58392511539</v>
      </c>
      <c r="L85" s="16">
        <f t="shared" si="22"/>
        <v>14629.71089794203</v>
      </c>
      <c r="M85" s="16">
        <f t="shared" si="22"/>
        <v>15028.632043558273</v>
      </c>
      <c r="N85" s="16">
        <f t="shared" si="22"/>
        <v>15437.55627351767</v>
      </c>
      <c r="O85" s="16">
        <f t="shared" si="22"/>
        <v>15856.69512532087</v>
      </c>
      <c r="P85" s="16">
        <f t="shared" si="22"/>
        <v>16286.26269031523</v>
      </c>
      <c r="Q85" s="16">
        <f t="shared" si="22"/>
        <v>16726.475533330682</v>
      </c>
      <c r="R85" s="16">
        <f t="shared" si="22"/>
        <v>17177.552603561573</v>
      </c>
      <c r="S85" s="16">
        <f t="shared" si="22"/>
        <v>17639.7151361803</v>
      </c>
      <c r="T85" s="16">
        <f t="shared" si="22"/>
        <v>18113.18654414298</v>
      </c>
      <c r="U85" s="16">
        <f t="shared" si="22"/>
        <v>18598.19229962122</v>
      </c>
      <c r="V85" s="16">
        <f t="shared" si="22"/>
        <v>19094.959804466365</v>
      </c>
      <c r="W85" s="16">
        <f t="shared" si="22"/>
        <v>19603.71824908363</v>
      </c>
      <c r="X85" s="8"/>
    </row>
    <row r="86" spans="1:24" ht="12.75">
      <c r="A86" s="44"/>
      <c r="B86" s="1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8"/>
    </row>
    <row r="87" spans="1:23" ht="12.75">
      <c r="A87" s="43" t="s">
        <v>109</v>
      </c>
      <c r="B87" s="115"/>
      <c r="C87" s="28">
        <f>C85</f>
        <v>11456</v>
      </c>
      <c r="D87" s="28">
        <f>D85+C87</f>
        <v>23229.961279999996</v>
      </c>
      <c r="E87" s="28">
        <f aca="true" t="shared" si="23" ref="E87:W87">E85+D87</f>
        <v>35330.10752959999</v>
      </c>
      <c r="F87" s="28">
        <f t="shared" si="23"/>
        <v>47764.84859410398</v>
      </c>
      <c r="G87" s="28">
        <f t="shared" si="23"/>
        <v>60542.7834313995</v>
      </c>
      <c r="H87" s="28">
        <f t="shared" si="23"/>
        <v>73672.70304777792</v>
      </c>
      <c r="I87" s="28">
        <f t="shared" si="23"/>
        <v>87163.59340759937</v>
      </c>
      <c r="J87" s="28">
        <f t="shared" si="23"/>
        <v>101024.63831137479</v>
      </c>
      <c r="K87" s="28">
        <f t="shared" si="23"/>
        <v>115265.22223649018</v>
      </c>
      <c r="L87" s="28">
        <f t="shared" si="23"/>
        <v>129894.93313443221</v>
      </c>
      <c r="M87" s="28">
        <f t="shared" si="23"/>
        <v>144923.56517799047</v>
      </c>
      <c r="N87" s="28">
        <f t="shared" si="23"/>
        <v>160361.12145150814</v>
      </c>
      <c r="O87" s="28">
        <f t="shared" si="23"/>
        <v>176217.816576829</v>
      </c>
      <c r="P87" s="28">
        <f t="shared" si="23"/>
        <v>192504.07926714423</v>
      </c>
      <c r="Q87" s="28">
        <f t="shared" si="23"/>
        <v>209230.5548004749</v>
      </c>
      <c r="R87" s="28">
        <f t="shared" si="23"/>
        <v>226408.10740403648</v>
      </c>
      <c r="S87" s="28">
        <f t="shared" si="23"/>
        <v>244047.8225402168</v>
      </c>
      <c r="T87" s="28">
        <f t="shared" si="23"/>
        <v>262161.00908435974</v>
      </c>
      <c r="U87" s="28">
        <f t="shared" si="23"/>
        <v>280759.201383981</v>
      </c>
      <c r="V87" s="28">
        <f t="shared" si="23"/>
        <v>299854.1611884473</v>
      </c>
      <c r="W87" s="28">
        <f t="shared" si="23"/>
        <v>319457.87943753094</v>
      </c>
    </row>
    <row r="90" ht="13.5" thickBot="1">
      <c r="A90" s="35" t="s">
        <v>67</v>
      </c>
    </row>
    <row r="91" spans="1:3" ht="13.5" thickBot="1">
      <c r="A91" s="45" t="s">
        <v>68</v>
      </c>
      <c r="B91" s="46"/>
      <c r="C91" s="75">
        <f>V81</f>
        <v>140527.57436148863</v>
      </c>
    </row>
    <row r="92" spans="1:3" ht="13.5" thickBot="1">
      <c r="A92" s="47" t="s">
        <v>72</v>
      </c>
      <c r="B92" s="45" t="s">
        <v>63</v>
      </c>
      <c r="C92" s="74">
        <v>0</v>
      </c>
    </row>
    <row r="93" spans="1:3" ht="13.5" thickBot="1">
      <c r="A93" s="47" t="s">
        <v>69</v>
      </c>
      <c r="B93" s="45" t="s">
        <v>60</v>
      </c>
      <c r="C93" s="76">
        <f>C92*C13</f>
        <v>0</v>
      </c>
    </row>
    <row r="94" spans="1:3" ht="13.5" thickBot="1">
      <c r="A94" s="46"/>
      <c r="B94" s="46"/>
      <c r="C94" s="46"/>
    </row>
    <row r="95" spans="1:3" ht="13.5" thickBot="1">
      <c r="A95" s="45" t="s">
        <v>73</v>
      </c>
      <c r="B95" s="45" t="s">
        <v>60</v>
      </c>
      <c r="C95" s="77">
        <f>C91+C93</f>
        <v>140527.57436148863</v>
      </c>
    </row>
    <row r="97" spans="1:3" ht="12.75">
      <c r="A97" s="45" t="s">
        <v>83</v>
      </c>
      <c r="C97" s="58">
        <f>W51</f>
        <v>0.01999999996405677</v>
      </c>
    </row>
    <row r="98" spans="1:3" ht="12.75">
      <c r="A98" s="45" t="s">
        <v>108</v>
      </c>
      <c r="C98" s="61">
        <f>C95+C97</f>
        <v>140527.5943614886</v>
      </c>
    </row>
  </sheetData>
  <sheetProtection/>
  <mergeCells count="3">
    <mergeCell ref="B63:B64"/>
    <mergeCell ref="B68:B70"/>
    <mergeCell ref="B85:B8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7109375" style="0" bestFit="1" customWidth="1"/>
    <col min="2" max="2" width="10.421875" style="0" customWidth="1"/>
    <col min="3" max="3" width="10.140625" style="0" bestFit="1" customWidth="1"/>
  </cols>
  <sheetData>
    <row r="2" spans="1:5" ht="15.75">
      <c r="A2" s="34" t="s">
        <v>123</v>
      </c>
      <c r="B2" s="30"/>
      <c r="C2" s="30"/>
      <c r="D2" s="30"/>
      <c r="E2" s="30"/>
    </row>
    <row r="3" spans="1:5" ht="13.5" thickBot="1">
      <c r="A3" s="1"/>
      <c r="E3" s="33" t="s">
        <v>55</v>
      </c>
    </row>
    <row r="4" spans="1:6" ht="13.5" thickBot="1">
      <c r="A4" t="s">
        <v>49</v>
      </c>
      <c r="E4" s="26"/>
      <c r="F4" s="31" t="s">
        <v>53</v>
      </c>
    </row>
    <row r="5" spans="5:6" ht="13.5" thickBot="1">
      <c r="E5" s="32"/>
      <c r="F5" s="31" t="s">
        <v>54</v>
      </c>
    </row>
    <row r="6" ht="12.75">
      <c r="A6" s="3"/>
    </row>
    <row r="8" ht="12.75">
      <c r="C8" s="2"/>
    </row>
    <row r="9" spans="1:3" ht="13.5" thickBot="1">
      <c r="A9" s="35" t="s">
        <v>59</v>
      </c>
      <c r="C9" s="2"/>
    </row>
    <row r="10" spans="1:4" ht="13.5" thickBot="1">
      <c r="A10" t="s">
        <v>38</v>
      </c>
      <c r="B10" t="s">
        <v>1</v>
      </c>
      <c r="C10" s="48">
        <v>10</v>
      </c>
      <c r="D10" s="25"/>
    </row>
    <row r="11" spans="1:3" ht="13.5" thickBot="1">
      <c r="A11" t="s">
        <v>48</v>
      </c>
      <c r="C11" s="10">
        <f>10000</f>
        <v>10000</v>
      </c>
    </row>
    <row r="12" spans="1:3" ht="13.5" thickBot="1">
      <c r="A12" s="3" t="s">
        <v>85</v>
      </c>
      <c r="C12" s="10">
        <f>C11*0.1</f>
        <v>1000</v>
      </c>
    </row>
    <row r="13" spans="1:5" ht="13.5" thickBot="1">
      <c r="A13" s="1" t="s">
        <v>35</v>
      </c>
      <c r="B13" s="1"/>
      <c r="C13" s="38">
        <f>C11+C12</f>
        <v>11000</v>
      </c>
      <c r="E13" s="3" t="s">
        <v>84</v>
      </c>
    </row>
    <row r="14" ht="12.75">
      <c r="C14" s="68"/>
    </row>
    <row r="15" spans="1:3" ht="13.5" thickBot="1">
      <c r="A15" s="35" t="s">
        <v>58</v>
      </c>
      <c r="C15" s="68"/>
    </row>
    <row r="16" spans="1:5" ht="13.5" thickBot="1">
      <c r="A16" t="s">
        <v>3</v>
      </c>
      <c r="B16" t="s">
        <v>0</v>
      </c>
      <c r="C16" s="37">
        <f>D16*C10</f>
        <v>9330</v>
      </c>
      <c r="D16" s="24">
        <v>933</v>
      </c>
      <c r="E16" t="s">
        <v>112</v>
      </c>
    </row>
    <row r="17" spans="1:3" ht="13.5" thickBot="1">
      <c r="A17" s="3" t="s">
        <v>56</v>
      </c>
      <c r="B17" t="s">
        <v>4</v>
      </c>
      <c r="C17" s="49">
        <v>11.71</v>
      </c>
    </row>
    <row r="18" spans="1:3" ht="13.5" thickBot="1">
      <c r="A18" s="3" t="s">
        <v>50</v>
      </c>
      <c r="B18" s="3"/>
      <c r="C18" s="69">
        <f>C16*C17/100</f>
        <v>1092.5430000000001</v>
      </c>
    </row>
    <row r="19" spans="1:3" ht="13.5" thickBot="1">
      <c r="A19" s="3" t="s">
        <v>57</v>
      </c>
      <c r="C19" s="70">
        <v>0.85</v>
      </c>
    </row>
    <row r="20" spans="1:5" ht="13.5" thickBot="1">
      <c r="A20" t="s">
        <v>122</v>
      </c>
      <c r="B20" t="s">
        <v>6</v>
      </c>
      <c r="C20" s="71">
        <f>C16*C19*D20/100</f>
        <v>793.05</v>
      </c>
      <c r="D20" s="36">
        <v>10</v>
      </c>
      <c r="E20" t="s">
        <v>2</v>
      </c>
    </row>
    <row r="21" spans="1:4" ht="13.5" thickBot="1">
      <c r="A21" t="s">
        <v>39</v>
      </c>
      <c r="B21" t="s">
        <v>6</v>
      </c>
      <c r="C21" s="37">
        <f>C16-(C16*C19)</f>
        <v>1399.5</v>
      </c>
      <c r="D21" t="s">
        <v>0</v>
      </c>
    </row>
    <row r="22" spans="1:5" ht="13.5" thickBot="1">
      <c r="A22" s="3" t="s">
        <v>40</v>
      </c>
      <c r="B22" t="s">
        <v>6</v>
      </c>
      <c r="C22" s="72">
        <f>C16*(D22/200)</f>
        <v>226.25249999999997</v>
      </c>
      <c r="D22" s="50">
        <v>4.85</v>
      </c>
      <c r="E22" t="s">
        <v>5</v>
      </c>
    </row>
    <row r="24" ht="13.5" thickBot="1">
      <c r="A24" s="35"/>
    </row>
    <row r="25" spans="1:3" ht="13.5" thickBot="1">
      <c r="A25" s="41" t="s">
        <v>74</v>
      </c>
      <c r="B25" t="s">
        <v>41</v>
      </c>
      <c r="C25" s="73">
        <v>0.05</v>
      </c>
    </row>
    <row r="26" spans="1:3" ht="13.5" thickBot="1">
      <c r="A26" s="3" t="s">
        <v>75</v>
      </c>
      <c r="B26" t="s">
        <v>41</v>
      </c>
      <c r="C26" s="39">
        <f>C13*(C25)</f>
        <v>550</v>
      </c>
    </row>
    <row r="27" spans="4:5" ht="12.75">
      <c r="D27" s="9"/>
      <c r="E27" s="27"/>
    </row>
    <row r="28" ht="13.5" thickBot="1"/>
    <row r="29" spans="1:4" ht="13.5" thickBot="1">
      <c r="A29" s="3" t="s">
        <v>61</v>
      </c>
      <c r="C29" s="70">
        <v>0.12</v>
      </c>
      <c r="D29" s="4" t="s">
        <v>86</v>
      </c>
    </row>
    <row r="30" spans="1:5" ht="13.5" thickBot="1">
      <c r="A30" s="3" t="s">
        <v>26</v>
      </c>
      <c r="B30" s="3" t="s">
        <v>60</v>
      </c>
      <c r="C30" s="40">
        <f>C29*C13</f>
        <v>1320</v>
      </c>
      <c r="D30" s="60">
        <f>C30/6</f>
        <v>220</v>
      </c>
      <c r="E30" s="3" t="s">
        <v>87</v>
      </c>
    </row>
    <row r="32" ht="13.5" thickBot="1"/>
    <row r="33" spans="1:2" ht="13.5" thickBot="1">
      <c r="A33" s="3" t="s">
        <v>62</v>
      </c>
      <c r="B33" s="73">
        <v>0.007</v>
      </c>
    </row>
    <row r="34" spans="1:23" ht="13.5" thickBot="1">
      <c r="A34" t="s">
        <v>30</v>
      </c>
      <c r="B34" s="73">
        <v>1</v>
      </c>
      <c r="C34" s="73">
        <f>B34-$B$33</f>
        <v>0.993</v>
      </c>
      <c r="D34" s="73">
        <f>C34-$B$33</f>
        <v>0.986</v>
      </c>
      <c r="E34" s="73">
        <f aca="true" t="shared" si="0" ref="E34:W34">D34-$B$33</f>
        <v>0.979</v>
      </c>
      <c r="F34" s="73">
        <f t="shared" si="0"/>
        <v>0.972</v>
      </c>
      <c r="G34" s="73">
        <f t="shared" si="0"/>
        <v>0.965</v>
      </c>
      <c r="H34" s="73">
        <f t="shared" si="0"/>
        <v>0.958</v>
      </c>
      <c r="I34" s="73">
        <f t="shared" si="0"/>
        <v>0.951</v>
      </c>
      <c r="J34" s="73">
        <f t="shared" si="0"/>
        <v>0.944</v>
      </c>
      <c r="K34" s="73">
        <f t="shared" si="0"/>
        <v>0.9369999999999999</v>
      </c>
      <c r="L34" s="73">
        <f t="shared" si="0"/>
        <v>0.9299999999999999</v>
      </c>
      <c r="M34" s="73">
        <f t="shared" si="0"/>
        <v>0.9229999999999999</v>
      </c>
      <c r="N34" s="73">
        <f t="shared" si="0"/>
        <v>0.9159999999999999</v>
      </c>
      <c r="O34" s="73">
        <f t="shared" si="0"/>
        <v>0.9089999999999999</v>
      </c>
      <c r="P34" s="73">
        <f t="shared" si="0"/>
        <v>0.9019999999999999</v>
      </c>
      <c r="Q34" s="73">
        <f t="shared" si="0"/>
        <v>0.8949999999999999</v>
      </c>
      <c r="R34" s="73">
        <f t="shared" si="0"/>
        <v>0.8879999999999999</v>
      </c>
      <c r="S34" s="73">
        <f t="shared" si="0"/>
        <v>0.8809999999999999</v>
      </c>
      <c r="T34" s="73">
        <f t="shared" si="0"/>
        <v>0.8739999999999999</v>
      </c>
      <c r="U34" s="73">
        <f t="shared" si="0"/>
        <v>0.8669999999999999</v>
      </c>
      <c r="V34" s="73">
        <f t="shared" si="0"/>
        <v>0.8599999999999999</v>
      </c>
      <c r="W34" s="73">
        <f t="shared" si="0"/>
        <v>0.8529999999999999</v>
      </c>
    </row>
    <row r="35" spans="2:23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23" ht="13.5" thickBo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4" ht="13.5" thickBot="1">
      <c r="A37" s="6" t="s">
        <v>42</v>
      </c>
      <c r="B37" s="5"/>
      <c r="C37" s="74">
        <v>0.035</v>
      </c>
      <c r="D37" s="6">
        <f aca="true" t="shared" si="1" ref="D37:W37">C37</f>
        <v>0.035</v>
      </c>
      <c r="E37" s="6">
        <f t="shared" si="1"/>
        <v>0.035</v>
      </c>
      <c r="F37" s="6">
        <f t="shared" si="1"/>
        <v>0.035</v>
      </c>
      <c r="G37" s="6">
        <f t="shared" si="1"/>
        <v>0.035</v>
      </c>
      <c r="H37" s="6">
        <f t="shared" si="1"/>
        <v>0.035</v>
      </c>
      <c r="I37" s="6">
        <f t="shared" si="1"/>
        <v>0.035</v>
      </c>
      <c r="J37" s="6">
        <f t="shared" si="1"/>
        <v>0.035</v>
      </c>
      <c r="K37" s="6">
        <f t="shared" si="1"/>
        <v>0.035</v>
      </c>
      <c r="L37" s="6">
        <f t="shared" si="1"/>
        <v>0.035</v>
      </c>
      <c r="M37" s="6">
        <f t="shared" si="1"/>
        <v>0.035</v>
      </c>
      <c r="N37" s="6">
        <f t="shared" si="1"/>
        <v>0.035</v>
      </c>
      <c r="O37" s="6">
        <f t="shared" si="1"/>
        <v>0.035</v>
      </c>
      <c r="P37" s="6">
        <f t="shared" si="1"/>
        <v>0.035</v>
      </c>
      <c r="Q37" s="6">
        <f t="shared" si="1"/>
        <v>0.035</v>
      </c>
      <c r="R37" s="6">
        <f t="shared" si="1"/>
        <v>0.035</v>
      </c>
      <c r="S37" s="6">
        <f t="shared" si="1"/>
        <v>0.035</v>
      </c>
      <c r="T37" s="6">
        <f t="shared" si="1"/>
        <v>0.035</v>
      </c>
      <c r="U37" s="6">
        <f t="shared" si="1"/>
        <v>0.035</v>
      </c>
      <c r="V37" s="6">
        <f t="shared" si="1"/>
        <v>0.035</v>
      </c>
      <c r="W37" s="6">
        <f t="shared" si="1"/>
        <v>0.035</v>
      </c>
      <c r="X37" s="6"/>
    </row>
    <row r="38" spans="1:23" ht="12.75">
      <c r="A38" t="s">
        <v>37</v>
      </c>
      <c r="B38" s="23">
        <v>1</v>
      </c>
      <c r="C38" s="23">
        <f aca="true" t="shared" si="2" ref="C38:W38">B38*(1+C37)</f>
        <v>1.035</v>
      </c>
      <c r="D38" s="23">
        <f t="shared" si="2"/>
        <v>1.0712249999999999</v>
      </c>
      <c r="E38" s="23">
        <f t="shared" si="2"/>
        <v>1.1087178749999997</v>
      </c>
      <c r="F38" s="23">
        <f t="shared" si="2"/>
        <v>1.1475230006249997</v>
      </c>
      <c r="G38" s="23">
        <f t="shared" si="2"/>
        <v>1.1876863056468745</v>
      </c>
      <c r="H38" s="23">
        <f t="shared" si="2"/>
        <v>1.229255326344515</v>
      </c>
      <c r="I38" s="23">
        <f t="shared" si="2"/>
        <v>1.2722792627665729</v>
      </c>
      <c r="J38" s="23">
        <f t="shared" si="2"/>
        <v>1.316809036963403</v>
      </c>
      <c r="K38" s="23">
        <f t="shared" si="2"/>
        <v>1.3628973532571218</v>
      </c>
      <c r="L38" s="23">
        <f t="shared" si="2"/>
        <v>1.410598760621121</v>
      </c>
      <c r="M38" s="23">
        <f t="shared" si="2"/>
        <v>1.45996971724286</v>
      </c>
      <c r="N38" s="23">
        <f t="shared" si="2"/>
        <v>1.51106865734636</v>
      </c>
      <c r="O38" s="23">
        <f t="shared" si="2"/>
        <v>1.5639560603534826</v>
      </c>
      <c r="P38" s="23">
        <f t="shared" si="2"/>
        <v>1.6186945224658542</v>
      </c>
      <c r="Q38" s="23">
        <f t="shared" si="2"/>
        <v>1.675348830752159</v>
      </c>
      <c r="R38" s="23">
        <f t="shared" si="2"/>
        <v>1.7339860398284843</v>
      </c>
      <c r="S38" s="23">
        <f t="shared" si="2"/>
        <v>1.7946755512224812</v>
      </c>
      <c r="T38" s="23">
        <f t="shared" si="2"/>
        <v>1.857489195515268</v>
      </c>
      <c r="U38" s="23">
        <f t="shared" si="2"/>
        <v>1.922501317358302</v>
      </c>
      <c r="V38" s="23">
        <f t="shared" si="2"/>
        <v>1.9897888634658425</v>
      </c>
      <c r="W38" s="23">
        <f t="shared" si="2"/>
        <v>2.059431473687147</v>
      </c>
    </row>
    <row r="39" spans="2:23" ht="13.5" thickBo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4" ht="13.5" thickBot="1">
      <c r="A40" s="6" t="s">
        <v>43</v>
      </c>
      <c r="B40" s="5"/>
      <c r="C40" s="74">
        <f>'[2]Sensitivities'!B3</f>
        <v>0.025</v>
      </c>
      <c r="D40" s="6">
        <f aca="true" t="shared" si="3" ref="D40:W40">C40</f>
        <v>0.025</v>
      </c>
      <c r="E40" s="6">
        <f t="shared" si="3"/>
        <v>0.025</v>
      </c>
      <c r="F40" s="6">
        <f t="shared" si="3"/>
        <v>0.025</v>
      </c>
      <c r="G40" s="6">
        <f t="shared" si="3"/>
        <v>0.025</v>
      </c>
      <c r="H40" s="6">
        <f t="shared" si="3"/>
        <v>0.025</v>
      </c>
      <c r="I40" s="6">
        <f t="shared" si="3"/>
        <v>0.025</v>
      </c>
      <c r="J40" s="6">
        <f t="shared" si="3"/>
        <v>0.025</v>
      </c>
      <c r="K40" s="6">
        <f t="shared" si="3"/>
        <v>0.025</v>
      </c>
      <c r="L40" s="6">
        <f t="shared" si="3"/>
        <v>0.025</v>
      </c>
      <c r="M40" s="6">
        <f t="shared" si="3"/>
        <v>0.025</v>
      </c>
      <c r="N40" s="6">
        <f t="shared" si="3"/>
        <v>0.025</v>
      </c>
      <c r="O40" s="6">
        <f t="shared" si="3"/>
        <v>0.025</v>
      </c>
      <c r="P40" s="6">
        <f t="shared" si="3"/>
        <v>0.025</v>
      </c>
      <c r="Q40" s="6">
        <f t="shared" si="3"/>
        <v>0.025</v>
      </c>
      <c r="R40" s="6">
        <f t="shared" si="3"/>
        <v>0.025</v>
      </c>
      <c r="S40" s="6">
        <f t="shared" si="3"/>
        <v>0.025</v>
      </c>
      <c r="T40" s="6">
        <f t="shared" si="3"/>
        <v>0.025</v>
      </c>
      <c r="U40" s="6">
        <f t="shared" si="3"/>
        <v>0.025</v>
      </c>
      <c r="V40" s="6">
        <f t="shared" si="3"/>
        <v>0.025</v>
      </c>
      <c r="W40" s="6">
        <f t="shared" si="3"/>
        <v>0.025</v>
      </c>
      <c r="X40" s="6"/>
    </row>
    <row r="41" spans="1:23" ht="12.75">
      <c r="A41" t="s">
        <v>37</v>
      </c>
      <c r="B41" s="23">
        <v>1</v>
      </c>
      <c r="C41" s="23">
        <f aca="true" t="shared" si="4" ref="C41:W41">B41*(1+C40)</f>
        <v>1.025</v>
      </c>
      <c r="D41" s="23">
        <f t="shared" si="4"/>
        <v>1.050625</v>
      </c>
      <c r="E41" s="23">
        <f t="shared" si="4"/>
        <v>1.0768906249999999</v>
      </c>
      <c r="F41" s="23">
        <f t="shared" si="4"/>
        <v>1.1038128906249998</v>
      </c>
      <c r="G41" s="23">
        <f t="shared" si="4"/>
        <v>1.1314082128906247</v>
      </c>
      <c r="H41" s="23">
        <f t="shared" si="4"/>
        <v>1.1596934182128902</v>
      </c>
      <c r="I41" s="23">
        <f t="shared" si="4"/>
        <v>1.1886857536682123</v>
      </c>
      <c r="J41" s="23">
        <f t="shared" si="4"/>
        <v>1.2184028975099175</v>
      </c>
      <c r="K41" s="23">
        <f t="shared" si="4"/>
        <v>1.2488629699476652</v>
      </c>
      <c r="L41" s="23">
        <f t="shared" si="4"/>
        <v>1.2800845441963566</v>
      </c>
      <c r="M41" s="23">
        <f t="shared" si="4"/>
        <v>1.3120866578012655</v>
      </c>
      <c r="N41" s="23">
        <f t="shared" si="4"/>
        <v>1.344888824246297</v>
      </c>
      <c r="O41" s="23">
        <f t="shared" si="4"/>
        <v>1.3785110448524545</v>
      </c>
      <c r="P41" s="23">
        <f t="shared" si="4"/>
        <v>1.4129738209737657</v>
      </c>
      <c r="Q41" s="23">
        <f t="shared" si="4"/>
        <v>1.4482981664981096</v>
      </c>
      <c r="R41" s="23">
        <f t="shared" si="4"/>
        <v>1.4845056206605622</v>
      </c>
      <c r="S41" s="23">
        <f t="shared" si="4"/>
        <v>1.521618261177076</v>
      </c>
      <c r="T41" s="23">
        <f t="shared" si="4"/>
        <v>1.5596587177065029</v>
      </c>
      <c r="U41" s="23">
        <f t="shared" si="4"/>
        <v>1.5986501856491653</v>
      </c>
      <c r="V41" s="23">
        <f t="shared" si="4"/>
        <v>1.6386164402903942</v>
      </c>
      <c r="W41" s="23">
        <f t="shared" si="4"/>
        <v>1.679581851297654</v>
      </c>
    </row>
    <row r="42" spans="2:23" ht="13.5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ht="13.5" thickBot="1">
      <c r="A43" s="6" t="s">
        <v>52</v>
      </c>
      <c r="B43" s="5"/>
      <c r="C43" s="74">
        <v>0.025</v>
      </c>
      <c r="D43" s="6">
        <f aca="true" t="shared" si="5" ref="D43:W43">C43</f>
        <v>0.025</v>
      </c>
      <c r="E43" s="6">
        <f t="shared" si="5"/>
        <v>0.025</v>
      </c>
      <c r="F43" s="6">
        <f t="shared" si="5"/>
        <v>0.025</v>
      </c>
      <c r="G43" s="6">
        <f t="shared" si="5"/>
        <v>0.025</v>
      </c>
      <c r="H43" s="6">
        <f t="shared" si="5"/>
        <v>0.025</v>
      </c>
      <c r="I43" s="6">
        <f t="shared" si="5"/>
        <v>0.025</v>
      </c>
      <c r="J43" s="6">
        <f t="shared" si="5"/>
        <v>0.025</v>
      </c>
      <c r="K43" s="6">
        <f t="shared" si="5"/>
        <v>0.025</v>
      </c>
      <c r="L43" s="6">
        <f t="shared" si="5"/>
        <v>0.025</v>
      </c>
      <c r="M43" s="6">
        <f t="shared" si="5"/>
        <v>0.025</v>
      </c>
      <c r="N43" s="6">
        <f t="shared" si="5"/>
        <v>0.025</v>
      </c>
      <c r="O43" s="6">
        <f t="shared" si="5"/>
        <v>0.025</v>
      </c>
      <c r="P43" s="6">
        <f t="shared" si="5"/>
        <v>0.025</v>
      </c>
      <c r="Q43" s="6">
        <f t="shared" si="5"/>
        <v>0.025</v>
      </c>
      <c r="R43" s="6">
        <f t="shared" si="5"/>
        <v>0.025</v>
      </c>
      <c r="S43" s="6">
        <f t="shared" si="5"/>
        <v>0.025</v>
      </c>
      <c r="T43" s="6">
        <f t="shared" si="5"/>
        <v>0.025</v>
      </c>
      <c r="U43" s="6">
        <f t="shared" si="5"/>
        <v>0.025</v>
      </c>
      <c r="V43" s="6">
        <f t="shared" si="5"/>
        <v>0.025</v>
      </c>
      <c r="W43" s="6">
        <f t="shared" si="5"/>
        <v>0.025</v>
      </c>
    </row>
    <row r="44" spans="1:23" ht="12.75">
      <c r="A44" t="s">
        <v>37</v>
      </c>
      <c r="B44" s="23">
        <v>1</v>
      </c>
      <c r="C44" s="23">
        <f aca="true" t="shared" si="6" ref="C44:W44">B44*(1+C43)</f>
        <v>1.025</v>
      </c>
      <c r="D44" s="23">
        <f t="shared" si="6"/>
        <v>1.050625</v>
      </c>
      <c r="E44" s="23">
        <f t="shared" si="6"/>
        <v>1.0768906249999999</v>
      </c>
      <c r="F44" s="23">
        <f t="shared" si="6"/>
        <v>1.1038128906249998</v>
      </c>
      <c r="G44" s="23">
        <f t="shared" si="6"/>
        <v>1.1314082128906247</v>
      </c>
      <c r="H44" s="23">
        <f t="shared" si="6"/>
        <v>1.1596934182128902</v>
      </c>
      <c r="I44" s="23">
        <f t="shared" si="6"/>
        <v>1.1886857536682123</v>
      </c>
      <c r="J44" s="23">
        <f t="shared" si="6"/>
        <v>1.2184028975099175</v>
      </c>
      <c r="K44" s="23">
        <f t="shared" si="6"/>
        <v>1.2488629699476652</v>
      </c>
      <c r="L44" s="23">
        <f t="shared" si="6"/>
        <v>1.2800845441963566</v>
      </c>
      <c r="M44" s="23">
        <f t="shared" si="6"/>
        <v>1.3120866578012655</v>
      </c>
      <c r="N44" s="23">
        <f t="shared" si="6"/>
        <v>1.344888824246297</v>
      </c>
      <c r="O44" s="23">
        <f t="shared" si="6"/>
        <v>1.3785110448524545</v>
      </c>
      <c r="P44" s="23">
        <f t="shared" si="6"/>
        <v>1.4129738209737657</v>
      </c>
      <c r="Q44" s="23">
        <f t="shared" si="6"/>
        <v>1.4482981664981096</v>
      </c>
      <c r="R44" s="23">
        <f t="shared" si="6"/>
        <v>1.4845056206605622</v>
      </c>
      <c r="S44" s="23">
        <f t="shared" si="6"/>
        <v>1.521618261177076</v>
      </c>
      <c r="T44" s="23">
        <f t="shared" si="6"/>
        <v>1.5596587177065029</v>
      </c>
      <c r="U44" s="23">
        <f t="shared" si="6"/>
        <v>1.5986501856491653</v>
      </c>
      <c r="V44" s="23">
        <f t="shared" si="6"/>
        <v>1.6386164402903942</v>
      </c>
      <c r="W44" s="23">
        <f t="shared" si="6"/>
        <v>1.679581851297654</v>
      </c>
    </row>
    <row r="45" spans="2:23" ht="12.7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2:23" ht="12.7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ht="12.75">
      <c r="A47" s="55" t="s">
        <v>78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ht="13.5" thickBot="1">
      <c r="A48" s="52" t="s">
        <v>76</v>
      </c>
      <c r="B48" s="51"/>
      <c r="C48" s="53">
        <f>$C13</f>
        <v>11000</v>
      </c>
      <c r="D48" s="53">
        <f>C48-D49</f>
        <v>11000</v>
      </c>
      <c r="E48" s="53">
        <f aca="true" t="shared" si="7" ref="E48:W48">D48-E49</f>
        <v>11000</v>
      </c>
      <c r="F48" s="53">
        <f t="shared" si="7"/>
        <v>11000</v>
      </c>
      <c r="G48" s="53">
        <f>F48</f>
        <v>11000</v>
      </c>
      <c r="H48" s="53">
        <f t="shared" si="7"/>
        <v>10352.94</v>
      </c>
      <c r="I48" s="53">
        <f t="shared" si="7"/>
        <v>9705.880000000001</v>
      </c>
      <c r="J48" s="53">
        <f t="shared" si="7"/>
        <v>9058.820000000002</v>
      </c>
      <c r="K48" s="53">
        <f t="shared" si="7"/>
        <v>8411.760000000002</v>
      </c>
      <c r="L48" s="53">
        <f t="shared" si="7"/>
        <v>7764.700000000003</v>
      </c>
      <c r="M48" s="53">
        <f t="shared" si="7"/>
        <v>7117.640000000003</v>
      </c>
      <c r="N48" s="53">
        <f t="shared" si="7"/>
        <v>6470.580000000004</v>
      </c>
      <c r="O48" s="53">
        <f t="shared" si="7"/>
        <v>5823.520000000004</v>
      </c>
      <c r="P48" s="53">
        <f t="shared" si="7"/>
        <v>5176.460000000005</v>
      </c>
      <c r="Q48" s="53">
        <f t="shared" si="7"/>
        <v>4529.400000000005</v>
      </c>
      <c r="R48" s="53">
        <f t="shared" si="7"/>
        <v>3882.340000000005</v>
      </c>
      <c r="S48" s="53">
        <f t="shared" si="7"/>
        <v>3235.280000000005</v>
      </c>
      <c r="T48" s="53">
        <f t="shared" si="7"/>
        <v>2588.2200000000053</v>
      </c>
      <c r="U48" s="53">
        <f t="shared" si="7"/>
        <v>1941.1600000000053</v>
      </c>
      <c r="V48" s="53">
        <f t="shared" si="7"/>
        <v>1294.1000000000054</v>
      </c>
      <c r="W48" s="53">
        <f t="shared" si="7"/>
        <v>647.0400000000054</v>
      </c>
    </row>
    <row r="49" spans="1:23" ht="13.5" thickBot="1">
      <c r="A49" s="54" t="s">
        <v>82</v>
      </c>
      <c r="B49" s="51"/>
      <c r="C49" s="26"/>
      <c r="D49" s="26">
        <v>0</v>
      </c>
      <c r="E49" s="26">
        <v>0</v>
      </c>
      <c r="F49" s="26">
        <v>0</v>
      </c>
      <c r="G49" s="26">
        <v>647.06</v>
      </c>
      <c r="H49" s="26">
        <v>647.06</v>
      </c>
      <c r="I49" s="26">
        <v>647.06</v>
      </c>
      <c r="J49" s="26">
        <v>647.06</v>
      </c>
      <c r="K49" s="26">
        <v>647.06</v>
      </c>
      <c r="L49" s="26">
        <v>647.06</v>
      </c>
      <c r="M49" s="26">
        <v>647.06</v>
      </c>
      <c r="N49" s="26">
        <v>647.06</v>
      </c>
      <c r="O49" s="26">
        <v>647.06</v>
      </c>
      <c r="P49" s="26">
        <v>647.06</v>
      </c>
      <c r="Q49" s="26">
        <v>647.06</v>
      </c>
      <c r="R49" s="26">
        <v>647.06</v>
      </c>
      <c r="S49" s="26">
        <v>647.06</v>
      </c>
      <c r="T49" s="26">
        <v>647.06</v>
      </c>
      <c r="U49" s="26">
        <v>647.06</v>
      </c>
      <c r="V49" s="26">
        <v>647.06</v>
      </c>
      <c r="W49" s="26">
        <v>647.06</v>
      </c>
    </row>
    <row r="50" spans="1:23" ht="12.75">
      <c r="A50" s="54" t="s">
        <v>79</v>
      </c>
      <c r="B50" s="51"/>
      <c r="C50" s="53"/>
      <c r="D50" s="53">
        <f>C48*$C25</f>
        <v>550</v>
      </c>
      <c r="E50" s="53">
        <f aca="true" t="shared" si="8" ref="E50:W50">D48*$C25</f>
        <v>550</v>
      </c>
      <c r="F50" s="53">
        <f t="shared" si="8"/>
        <v>550</v>
      </c>
      <c r="G50" s="53">
        <f t="shared" si="8"/>
        <v>550</v>
      </c>
      <c r="H50" s="53">
        <f t="shared" si="8"/>
        <v>550</v>
      </c>
      <c r="I50" s="53">
        <f t="shared" si="8"/>
        <v>517.647</v>
      </c>
      <c r="J50" s="53">
        <f t="shared" si="8"/>
        <v>485.2940000000001</v>
      </c>
      <c r="K50" s="53">
        <f t="shared" si="8"/>
        <v>452.9410000000001</v>
      </c>
      <c r="L50" s="53">
        <f t="shared" si="8"/>
        <v>420.58800000000014</v>
      </c>
      <c r="M50" s="53">
        <f t="shared" si="8"/>
        <v>388.2350000000001</v>
      </c>
      <c r="N50" s="53">
        <f t="shared" si="8"/>
        <v>355.8820000000002</v>
      </c>
      <c r="O50" s="53">
        <f t="shared" si="8"/>
        <v>323.5290000000002</v>
      </c>
      <c r="P50" s="53">
        <f t="shared" si="8"/>
        <v>291.1760000000002</v>
      </c>
      <c r="Q50" s="53">
        <f t="shared" si="8"/>
        <v>258.82300000000026</v>
      </c>
      <c r="R50" s="53">
        <f t="shared" si="8"/>
        <v>226.47000000000025</v>
      </c>
      <c r="S50" s="53">
        <f t="shared" si="8"/>
        <v>194.11700000000027</v>
      </c>
      <c r="T50" s="53">
        <f t="shared" si="8"/>
        <v>161.76400000000027</v>
      </c>
      <c r="U50" s="53">
        <f t="shared" si="8"/>
        <v>129.41100000000026</v>
      </c>
      <c r="V50" s="53">
        <f t="shared" si="8"/>
        <v>97.05800000000028</v>
      </c>
      <c r="W50" s="53">
        <f t="shared" si="8"/>
        <v>64.70500000000027</v>
      </c>
    </row>
    <row r="51" spans="1:23" ht="12.75">
      <c r="A51" s="52" t="s">
        <v>77</v>
      </c>
      <c r="B51" s="51"/>
      <c r="C51" s="53">
        <f>C48-C49</f>
        <v>11000</v>
      </c>
      <c r="D51" s="53">
        <f aca="true" t="shared" si="9" ref="D51:U51">D48-D49</f>
        <v>11000</v>
      </c>
      <c r="E51" s="53">
        <f t="shared" si="9"/>
        <v>11000</v>
      </c>
      <c r="F51" s="53">
        <f t="shared" si="9"/>
        <v>11000</v>
      </c>
      <c r="G51" s="53">
        <f t="shared" si="9"/>
        <v>10352.94</v>
      </c>
      <c r="H51" s="53">
        <f t="shared" si="9"/>
        <v>9705.880000000001</v>
      </c>
      <c r="I51" s="53">
        <f t="shared" si="9"/>
        <v>9058.820000000002</v>
      </c>
      <c r="J51" s="53">
        <f t="shared" si="9"/>
        <v>8411.760000000002</v>
      </c>
      <c r="K51" s="53">
        <f t="shared" si="9"/>
        <v>7764.700000000003</v>
      </c>
      <c r="L51" s="53">
        <f t="shared" si="9"/>
        <v>7117.640000000003</v>
      </c>
      <c r="M51" s="53">
        <f t="shared" si="9"/>
        <v>6470.580000000004</v>
      </c>
      <c r="N51" s="53">
        <f t="shared" si="9"/>
        <v>5823.520000000004</v>
      </c>
      <c r="O51" s="53">
        <f t="shared" si="9"/>
        <v>5176.460000000005</v>
      </c>
      <c r="P51" s="53">
        <f t="shared" si="9"/>
        <v>4529.400000000005</v>
      </c>
      <c r="Q51" s="53">
        <f t="shared" si="9"/>
        <v>3882.340000000005</v>
      </c>
      <c r="R51" s="53">
        <f t="shared" si="9"/>
        <v>3235.280000000005</v>
      </c>
      <c r="S51" s="53">
        <f t="shared" si="9"/>
        <v>2588.2200000000053</v>
      </c>
      <c r="T51" s="53">
        <f t="shared" si="9"/>
        <v>1941.1600000000053</v>
      </c>
      <c r="U51" s="53">
        <f t="shared" si="9"/>
        <v>1294.1000000000054</v>
      </c>
      <c r="V51" s="53">
        <f>V48-V49</f>
        <v>647.0400000000054</v>
      </c>
      <c r="W51" s="53">
        <f>W48-W49</f>
        <v>-0.019999999994524842</v>
      </c>
    </row>
    <row r="52" spans="1:23" ht="12.75">
      <c r="A52" s="54" t="s">
        <v>80</v>
      </c>
      <c r="B52" s="51"/>
      <c r="C52" s="53">
        <f>C49+C50</f>
        <v>0</v>
      </c>
      <c r="D52" s="53">
        <f aca="true" t="shared" si="10" ref="D52:V52">D49+D50</f>
        <v>550</v>
      </c>
      <c r="E52" s="53">
        <f t="shared" si="10"/>
        <v>550</v>
      </c>
      <c r="F52" s="53">
        <f t="shared" si="10"/>
        <v>550</v>
      </c>
      <c r="G52" s="53">
        <f t="shared" si="10"/>
        <v>1197.06</v>
      </c>
      <c r="H52" s="53">
        <f t="shared" si="10"/>
        <v>1197.06</v>
      </c>
      <c r="I52" s="53">
        <f t="shared" si="10"/>
        <v>1164.7069999999999</v>
      </c>
      <c r="J52" s="53">
        <f t="shared" si="10"/>
        <v>1132.354</v>
      </c>
      <c r="K52" s="53">
        <f t="shared" si="10"/>
        <v>1100.001</v>
      </c>
      <c r="L52" s="53">
        <f t="shared" si="10"/>
        <v>1067.6480000000001</v>
      </c>
      <c r="M52" s="53">
        <f t="shared" si="10"/>
        <v>1035.295</v>
      </c>
      <c r="N52" s="53">
        <f t="shared" si="10"/>
        <v>1002.9420000000001</v>
      </c>
      <c r="O52" s="53">
        <f t="shared" si="10"/>
        <v>970.5890000000002</v>
      </c>
      <c r="P52" s="53">
        <f t="shared" si="10"/>
        <v>938.2360000000001</v>
      </c>
      <c r="Q52" s="53">
        <f t="shared" si="10"/>
        <v>905.8830000000003</v>
      </c>
      <c r="R52" s="53">
        <f t="shared" si="10"/>
        <v>873.5300000000002</v>
      </c>
      <c r="S52" s="53">
        <f t="shared" si="10"/>
        <v>841.1770000000002</v>
      </c>
      <c r="T52" s="53">
        <f t="shared" si="10"/>
        <v>808.8240000000002</v>
      </c>
      <c r="U52" s="53">
        <f t="shared" si="10"/>
        <v>776.4710000000002</v>
      </c>
      <c r="V52" s="53">
        <f t="shared" si="10"/>
        <v>744.1180000000002</v>
      </c>
      <c r="W52" s="53">
        <f>W49+W50</f>
        <v>711.7650000000002</v>
      </c>
    </row>
    <row r="53" spans="2:23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ht="13.5" thickBot="1"/>
    <row r="55" spans="1:24" ht="12.75">
      <c r="A55" s="18" t="s">
        <v>27</v>
      </c>
      <c r="B55" s="18"/>
      <c r="C55" s="14" t="s">
        <v>159</v>
      </c>
      <c r="D55" s="14" t="s">
        <v>6</v>
      </c>
      <c r="E55" s="14" t="s">
        <v>7</v>
      </c>
      <c r="F55" s="14" t="s">
        <v>8</v>
      </c>
      <c r="G55" s="14" t="s">
        <v>9</v>
      </c>
      <c r="H55" s="14" t="s">
        <v>10</v>
      </c>
      <c r="I55" s="14" t="s">
        <v>11</v>
      </c>
      <c r="J55" s="14" t="s">
        <v>12</v>
      </c>
      <c r="K55" s="14" t="s">
        <v>13</v>
      </c>
      <c r="L55" s="14" t="s">
        <v>14</v>
      </c>
      <c r="M55" s="14" t="s">
        <v>15</v>
      </c>
      <c r="N55" s="14" t="s">
        <v>16</v>
      </c>
      <c r="O55" s="14" t="s">
        <v>17</v>
      </c>
      <c r="P55" s="14" t="s">
        <v>18</v>
      </c>
      <c r="Q55" s="14" t="s">
        <v>19</v>
      </c>
      <c r="R55" s="14" t="s">
        <v>20</v>
      </c>
      <c r="S55" s="14" t="s">
        <v>21</v>
      </c>
      <c r="T55" s="14" t="s">
        <v>22</v>
      </c>
      <c r="U55" s="14" t="s">
        <v>23</v>
      </c>
      <c r="V55" s="14" t="s">
        <v>24</v>
      </c>
      <c r="W55" s="14" t="s">
        <v>25</v>
      </c>
      <c r="X55" s="11"/>
    </row>
    <row r="56" spans="1:24" ht="12.75">
      <c r="A56" s="19"/>
      <c r="B56" s="19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2"/>
    </row>
    <row r="57" spans="1:24" ht="12.75">
      <c r="A57" s="56" t="s">
        <v>51</v>
      </c>
      <c r="B57" s="56"/>
      <c r="C57" s="57">
        <f>C50</f>
        <v>0</v>
      </c>
      <c r="D57" s="57">
        <f>D50</f>
        <v>550</v>
      </c>
      <c r="E57" s="57">
        <f aca="true" t="shared" si="11" ref="E57:V57">E50</f>
        <v>550</v>
      </c>
      <c r="F57" s="57">
        <f t="shared" si="11"/>
        <v>550</v>
      </c>
      <c r="G57" s="57">
        <f t="shared" si="11"/>
        <v>550</v>
      </c>
      <c r="H57" s="57">
        <f t="shared" si="11"/>
        <v>550</v>
      </c>
      <c r="I57" s="57">
        <f t="shared" si="11"/>
        <v>517.647</v>
      </c>
      <c r="J57" s="57">
        <f t="shared" si="11"/>
        <v>485.2940000000001</v>
      </c>
      <c r="K57" s="57">
        <f t="shared" si="11"/>
        <v>452.9410000000001</v>
      </c>
      <c r="L57" s="57">
        <f t="shared" si="11"/>
        <v>420.58800000000014</v>
      </c>
      <c r="M57" s="57">
        <f t="shared" si="11"/>
        <v>388.2350000000001</v>
      </c>
      <c r="N57" s="57">
        <f t="shared" si="11"/>
        <v>355.8820000000002</v>
      </c>
      <c r="O57" s="57">
        <f t="shared" si="11"/>
        <v>323.5290000000002</v>
      </c>
      <c r="P57" s="57">
        <f t="shared" si="11"/>
        <v>291.1760000000002</v>
      </c>
      <c r="Q57" s="57">
        <f t="shared" si="11"/>
        <v>258.82300000000026</v>
      </c>
      <c r="R57" s="57">
        <f t="shared" si="11"/>
        <v>226.47000000000025</v>
      </c>
      <c r="S57" s="57">
        <f t="shared" si="11"/>
        <v>194.11700000000027</v>
      </c>
      <c r="T57" s="57">
        <f t="shared" si="11"/>
        <v>161.76400000000027</v>
      </c>
      <c r="U57" s="57">
        <f t="shared" si="11"/>
        <v>129.41100000000026</v>
      </c>
      <c r="V57" s="57">
        <f t="shared" si="11"/>
        <v>97.05800000000028</v>
      </c>
      <c r="W57" s="57">
        <f>W50</f>
        <v>64.70500000000027</v>
      </c>
      <c r="X57" s="8"/>
    </row>
    <row r="58" spans="1:24" ht="12.75">
      <c r="A58" s="56" t="s">
        <v>81</v>
      </c>
      <c r="B58" s="56"/>
      <c r="C58" s="57">
        <f>C49</f>
        <v>0</v>
      </c>
      <c r="D58" s="57">
        <f>D49</f>
        <v>0</v>
      </c>
      <c r="E58" s="57">
        <f aca="true" t="shared" si="12" ref="E58:V58">E49</f>
        <v>0</v>
      </c>
      <c r="F58" s="57">
        <f t="shared" si="12"/>
        <v>0</v>
      </c>
      <c r="G58" s="57">
        <f t="shared" si="12"/>
        <v>647.06</v>
      </c>
      <c r="H58" s="57">
        <f t="shared" si="12"/>
        <v>647.06</v>
      </c>
      <c r="I58" s="57">
        <f t="shared" si="12"/>
        <v>647.06</v>
      </c>
      <c r="J58" s="57">
        <f t="shared" si="12"/>
        <v>647.06</v>
      </c>
      <c r="K58" s="57">
        <f t="shared" si="12"/>
        <v>647.06</v>
      </c>
      <c r="L58" s="57">
        <f t="shared" si="12"/>
        <v>647.06</v>
      </c>
      <c r="M58" s="57">
        <f t="shared" si="12"/>
        <v>647.06</v>
      </c>
      <c r="N58" s="57">
        <f t="shared" si="12"/>
        <v>647.06</v>
      </c>
      <c r="O58" s="57">
        <f t="shared" si="12"/>
        <v>647.06</v>
      </c>
      <c r="P58" s="57">
        <f t="shared" si="12"/>
        <v>647.06</v>
      </c>
      <c r="Q58" s="57">
        <f t="shared" si="12"/>
        <v>647.06</v>
      </c>
      <c r="R58" s="57">
        <f t="shared" si="12"/>
        <v>647.06</v>
      </c>
      <c r="S58" s="57">
        <f t="shared" si="12"/>
        <v>647.06</v>
      </c>
      <c r="T58" s="57">
        <f t="shared" si="12"/>
        <v>647.06</v>
      </c>
      <c r="U58" s="57">
        <f t="shared" si="12"/>
        <v>647.06</v>
      </c>
      <c r="V58" s="57">
        <f t="shared" si="12"/>
        <v>647.06</v>
      </c>
      <c r="W58" s="57">
        <f>W49</f>
        <v>647.06</v>
      </c>
      <c r="X58" s="8"/>
    </row>
    <row r="59" spans="1:24" ht="12.75">
      <c r="A59" s="67" t="s">
        <v>126</v>
      </c>
      <c r="B59" s="56"/>
      <c r="C59" s="57">
        <f>25%*(C77-C75)</f>
        <v>527.961375</v>
      </c>
      <c r="D59" s="57">
        <f aca="true" t="shared" si="13" ref="D59:V59">25%*D77</f>
        <v>539.3410331343749</v>
      </c>
      <c r="E59" s="57">
        <f t="shared" si="13"/>
        <v>550.9507963298437</v>
      </c>
      <c r="F59" s="57">
        <f t="shared" si="13"/>
        <v>562.7946023424269</v>
      </c>
      <c r="G59" s="57">
        <f t="shared" si="13"/>
        <v>574.8764210404671</v>
      </c>
      <c r="H59" s="57">
        <f t="shared" si="13"/>
        <v>587.2002526395939</v>
      </c>
      <c r="I59" s="57">
        <f t="shared" si="13"/>
        <v>599.7701257913727</v>
      </c>
      <c r="J59" s="57">
        <f t="shared" si="13"/>
        <v>612.5900955178819</v>
      </c>
      <c r="K59" s="57">
        <f t="shared" si="13"/>
        <v>625.6642409841006</v>
      </c>
      <c r="L59" s="57">
        <f t="shared" si="13"/>
        <v>638.9966630996183</v>
      </c>
      <c r="M59" s="57">
        <f t="shared" si="13"/>
        <v>652.5914819407866</v>
      </c>
      <c r="N59" s="57">
        <f t="shared" si="13"/>
        <v>666.452833984027</v>
      </c>
      <c r="O59" s="57">
        <f t="shared" si="13"/>
        <v>680.5848691405879</v>
      </c>
      <c r="P59" s="57">
        <f t="shared" si="13"/>
        <v>694.9917475825937</v>
      </c>
      <c r="Q59" s="57">
        <f t="shared" si="13"/>
        <v>709.6776363497793</v>
      </c>
      <c r="R59" s="57">
        <f t="shared" si="13"/>
        <v>724.6467057258103</v>
      </c>
      <c r="S59" s="57">
        <f t="shared" si="13"/>
        <v>739.9031253725996</v>
      </c>
      <c r="T59" s="57">
        <f t="shared" si="13"/>
        <v>755.4510602104948</v>
      </c>
      <c r="U59" s="57">
        <f t="shared" si="13"/>
        <v>771.2946660316819</v>
      </c>
      <c r="V59" s="57">
        <f t="shared" si="13"/>
        <v>787.438084833565</v>
      </c>
      <c r="W59" s="57">
        <f>25%*W77</f>
        <v>803.8854398583039</v>
      </c>
      <c r="X59" s="66"/>
    </row>
    <row r="60" spans="1:24" ht="12.75">
      <c r="A60" s="67" t="s">
        <v>113</v>
      </c>
      <c r="B60" s="56"/>
      <c r="C60" s="57">
        <v>150</v>
      </c>
      <c r="D60" s="57">
        <f>C60*1.025</f>
        <v>153.75</v>
      </c>
      <c r="E60" s="57">
        <f aca="true" t="shared" si="14" ref="E60:W60">D60*1.025</f>
        <v>157.59375</v>
      </c>
      <c r="F60" s="57">
        <f t="shared" si="14"/>
        <v>161.53359375</v>
      </c>
      <c r="G60" s="57">
        <f t="shared" si="14"/>
        <v>165.57193359374997</v>
      </c>
      <c r="H60" s="57">
        <f t="shared" si="14"/>
        <v>169.71123193359372</v>
      </c>
      <c r="I60" s="57">
        <f t="shared" si="14"/>
        <v>173.95401273193355</v>
      </c>
      <c r="J60" s="57">
        <f t="shared" si="14"/>
        <v>178.30286305023188</v>
      </c>
      <c r="K60" s="57">
        <f t="shared" si="14"/>
        <v>182.76043462648767</v>
      </c>
      <c r="L60" s="57">
        <f t="shared" si="14"/>
        <v>187.32944549214983</v>
      </c>
      <c r="M60" s="57">
        <f t="shared" si="14"/>
        <v>192.01268162945357</v>
      </c>
      <c r="N60" s="57">
        <f t="shared" si="14"/>
        <v>196.8129986701899</v>
      </c>
      <c r="O60" s="57">
        <f t="shared" si="14"/>
        <v>201.73332363694462</v>
      </c>
      <c r="P60" s="57">
        <f t="shared" si="14"/>
        <v>206.77665672786821</v>
      </c>
      <c r="Q60" s="57">
        <f t="shared" si="14"/>
        <v>211.9460731460649</v>
      </c>
      <c r="R60" s="57">
        <f t="shared" si="14"/>
        <v>217.2447249747165</v>
      </c>
      <c r="S60" s="57">
        <f t="shared" si="14"/>
        <v>222.67584309908437</v>
      </c>
      <c r="T60" s="57">
        <f t="shared" si="14"/>
        <v>228.24273917656146</v>
      </c>
      <c r="U60" s="57">
        <f t="shared" si="14"/>
        <v>233.9488076559755</v>
      </c>
      <c r="V60" s="57">
        <f t="shared" si="14"/>
        <v>239.79752784737485</v>
      </c>
      <c r="W60" s="57">
        <f t="shared" si="14"/>
        <v>245.79246604355922</v>
      </c>
      <c r="X60" s="66"/>
    </row>
    <row r="61" spans="1:24" ht="12.75">
      <c r="A61" s="67" t="s">
        <v>92</v>
      </c>
      <c r="B61" s="56"/>
      <c r="C61" s="57"/>
      <c r="D61" s="57"/>
      <c r="E61" s="57"/>
      <c r="F61" s="57"/>
      <c r="G61" s="57"/>
      <c r="H61" s="57"/>
      <c r="I61" s="57"/>
      <c r="J61" s="57"/>
      <c r="K61" s="57">
        <f>D30</f>
        <v>220</v>
      </c>
      <c r="L61" s="57">
        <f>D30</f>
        <v>220</v>
      </c>
      <c r="M61" s="57">
        <f>D30</f>
        <v>220</v>
      </c>
      <c r="N61" s="57">
        <f>D30</f>
        <v>220</v>
      </c>
      <c r="O61" s="57">
        <f>D30</f>
        <v>220</v>
      </c>
      <c r="P61" s="57">
        <f>D30</f>
        <v>220</v>
      </c>
      <c r="Q61" s="57"/>
      <c r="R61" s="57"/>
      <c r="S61" s="57"/>
      <c r="T61" s="57"/>
      <c r="U61" s="57"/>
      <c r="V61" s="57"/>
      <c r="W61" s="57"/>
      <c r="X61" s="66"/>
    </row>
    <row r="62" spans="1:24" ht="12.75">
      <c r="A62" s="56" t="s">
        <v>130</v>
      </c>
      <c r="B62" s="56"/>
      <c r="C62" s="57">
        <f>C12/3</f>
        <v>333.3333333333333</v>
      </c>
      <c r="D62" s="16">
        <f>C12/3</f>
        <v>333.3333333333333</v>
      </c>
      <c r="E62" s="16">
        <f>C12/3</f>
        <v>333.3333333333333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8"/>
    </row>
    <row r="63" spans="1:24" ht="12.75">
      <c r="A63" s="20"/>
      <c r="B63" s="114" t="s">
        <v>65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8"/>
    </row>
    <row r="64" spans="1:24" ht="12.75">
      <c r="A64" s="20"/>
      <c r="B64" s="114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8"/>
    </row>
    <row r="65" spans="1:24" ht="12.75">
      <c r="A65" s="20" t="s">
        <v>31</v>
      </c>
      <c r="B65" s="20"/>
      <c r="C65" s="7">
        <f>SUM(C57:C64)</f>
        <v>1011.2947083333333</v>
      </c>
      <c r="D65" s="7">
        <f aca="true" t="shared" si="15" ref="D65:V65">SUM(D57:D64)</f>
        <v>1576.424366467708</v>
      </c>
      <c r="E65" s="7">
        <f t="shared" si="15"/>
        <v>1591.877879663177</v>
      </c>
      <c r="F65" s="7">
        <f t="shared" si="15"/>
        <v>1274.3281960924269</v>
      </c>
      <c r="G65" s="7">
        <f t="shared" si="15"/>
        <v>1937.5083546342169</v>
      </c>
      <c r="H65" s="7">
        <f t="shared" si="15"/>
        <v>1953.9714845731878</v>
      </c>
      <c r="I65" s="7">
        <f t="shared" si="15"/>
        <v>1938.4311385233061</v>
      </c>
      <c r="J65" s="7">
        <f t="shared" si="15"/>
        <v>1923.246958568114</v>
      </c>
      <c r="K65" s="7">
        <f t="shared" si="15"/>
        <v>2128.4256756105883</v>
      </c>
      <c r="L65" s="7">
        <f t="shared" si="15"/>
        <v>2113.974108591768</v>
      </c>
      <c r="M65" s="7">
        <f t="shared" si="15"/>
        <v>2099.8991635702405</v>
      </c>
      <c r="N65" s="7">
        <f t="shared" si="15"/>
        <v>2086.207832654217</v>
      </c>
      <c r="O65" s="7">
        <f t="shared" si="15"/>
        <v>2072.9071927775326</v>
      </c>
      <c r="P65" s="7">
        <f t="shared" si="15"/>
        <v>2060.0044043104617</v>
      </c>
      <c r="Q65" s="7">
        <f t="shared" si="15"/>
        <v>1827.5067094958445</v>
      </c>
      <c r="R65" s="7">
        <f t="shared" si="15"/>
        <v>1815.421430700527</v>
      </c>
      <c r="S65" s="7">
        <f t="shared" si="15"/>
        <v>1803.7559684716844</v>
      </c>
      <c r="T65" s="7">
        <f t="shared" si="15"/>
        <v>1792.5177993870564</v>
      </c>
      <c r="U65" s="7">
        <f t="shared" si="15"/>
        <v>1781.7144736876576</v>
      </c>
      <c r="V65" s="7">
        <f t="shared" si="15"/>
        <v>1771.35361268094</v>
      </c>
      <c r="W65" s="7">
        <f>SUM(W57:W64)</f>
        <v>1761.4429059018635</v>
      </c>
      <c r="X65" s="8"/>
    </row>
    <row r="66" spans="1:24" ht="12.75">
      <c r="A66" s="20"/>
      <c r="B66" s="20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8"/>
    </row>
    <row r="67" spans="1:24" ht="12.75">
      <c r="A67" s="21" t="s">
        <v>28</v>
      </c>
      <c r="B67" s="21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8"/>
    </row>
    <row r="68" spans="1:24" ht="12.75">
      <c r="A68" s="20"/>
      <c r="B68" s="114" t="s">
        <v>64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8"/>
    </row>
    <row r="69" spans="1:24" ht="12.75">
      <c r="A69" s="20" t="s">
        <v>29</v>
      </c>
      <c r="B69" s="114"/>
      <c r="C69" s="16">
        <f aca="true" t="shared" si="16" ref="C69:W69">$C$18*B34*B41</f>
        <v>1092.5430000000001</v>
      </c>
      <c r="D69" s="16">
        <f t="shared" si="16"/>
        <v>1112.0175789749999</v>
      </c>
      <c r="E69" s="16">
        <f t="shared" si="16"/>
        <v>1131.7830475237502</v>
      </c>
      <c r="F69" s="16">
        <f t="shared" si="16"/>
        <v>1151.8417785130782</v>
      </c>
      <c r="G69" s="16">
        <f t="shared" si="16"/>
        <v>1172.19608164717</v>
      </c>
      <c r="H69" s="16">
        <f t="shared" si="16"/>
        <v>1192.8481988263961</v>
      </c>
      <c r="I69" s="16">
        <f t="shared" si="16"/>
        <v>1213.800299313554</v>
      </c>
      <c r="J69" s="16">
        <f t="shared" si="16"/>
        <v>1235.0544747008032</v>
      </c>
      <c r="K69" s="16">
        <f t="shared" si="16"/>
        <v>1256.612733670344</v>
      </c>
      <c r="L69" s="16">
        <f t="shared" si="16"/>
        <v>1278.4769965416735</v>
      </c>
      <c r="M69" s="16">
        <f t="shared" si="16"/>
        <v>1300.6490895980257</v>
      </c>
      <c r="N69" s="16">
        <f t="shared" si="16"/>
        <v>1323.130739184357</v>
      </c>
      <c r="O69" s="16">
        <f t="shared" si="16"/>
        <v>1345.9235655690063</v>
      </c>
      <c r="P69" s="16">
        <f t="shared" si="16"/>
        <v>1369.0290765608977</v>
      </c>
      <c r="Q69" s="16">
        <f t="shared" si="16"/>
        <v>1392.448660873903</v>
      </c>
      <c r="R69" s="16">
        <f t="shared" si="16"/>
        <v>1416.1835812297081</v>
      </c>
      <c r="S69" s="16">
        <f t="shared" si="16"/>
        <v>1440.234967190257</v>
      </c>
      <c r="T69" s="16">
        <f t="shared" si="16"/>
        <v>1464.6038077105652</v>
      </c>
      <c r="U69" s="16">
        <f t="shared" si="16"/>
        <v>1489.2909434023945</v>
      </c>
      <c r="V69" s="16">
        <f t="shared" si="16"/>
        <v>1514.2970584989964</v>
      </c>
      <c r="W69" s="16">
        <f t="shared" si="16"/>
        <v>1539.6226725108017</v>
      </c>
      <c r="X69" s="8"/>
    </row>
    <row r="70" spans="1:24" ht="12.75">
      <c r="A70" s="20"/>
      <c r="B70" s="11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8"/>
    </row>
    <row r="71" spans="1:24" ht="38.25">
      <c r="A71" s="20" t="s">
        <v>106</v>
      </c>
      <c r="B71" s="65" t="s">
        <v>107</v>
      </c>
      <c r="C71" s="16">
        <f>C85</f>
        <v>793.05</v>
      </c>
      <c r="D71" s="16">
        <f>D85</f>
        <v>815.0611027499999</v>
      </c>
      <c r="E71" s="16">
        <f aca="true" t="shared" si="17" ref="E71:V71">E85</f>
        <v>837.6414964424998</v>
      </c>
      <c r="F71" s="16">
        <f t="shared" si="17"/>
        <v>860.8040678426061</v>
      </c>
      <c r="G71" s="16">
        <f t="shared" si="17"/>
        <v>884.5619084075776</v>
      </c>
      <c r="H71" s="16">
        <f t="shared" si="17"/>
        <v>908.9283128289899</v>
      </c>
      <c r="I71" s="16">
        <f t="shared" si="17"/>
        <v>933.9167772221017</v>
      </c>
      <c r="J71" s="16">
        <f t="shared" si="17"/>
        <v>959.540996939516</v>
      </c>
      <c r="K71" s="16">
        <f t="shared" si="17"/>
        <v>985.8148639850523</v>
      </c>
      <c r="L71" s="16">
        <f t="shared" si="17"/>
        <v>1012.752464002525</v>
      </c>
      <c r="M71" s="16">
        <f t="shared" si="17"/>
        <v>1040.3680728128393</v>
      </c>
      <c r="N71" s="16">
        <f t="shared" si="17"/>
        <v>1068.6761524714723</v>
      </c>
      <c r="O71" s="16">
        <f t="shared" si="17"/>
        <v>1097.6913468170142</v>
      </c>
      <c r="P71" s="16">
        <f t="shared" si="17"/>
        <v>1127.4284764799663</v>
      </c>
      <c r="Q71" s="16">
        <f t="shared" si="17"/>
        <v>1157.902533319474</v>
      </c>
      <c r="R71" s="16">
        <f t="shared" si="17"/>
        <v>1189.1286742540594</v>
      </c>
      <c r="S71" s="16">
        <f t="shared" si="17"/>
        <v>1221.1222144507494</v>
      </c>
      <c r="T71" s="16">
        <f t="shared" si="17"/>
        <v>1253.8986198352468</v>
      </c>
      <c r="U71" s="16">
        <f t="shared" si="17"/>
        <v>1287.4734988839566</v>
      </c>
      <c r="V71" s="16">
        <f t="shared" si="17"/>
        <v>1321.862593656778</v>
      </c>
      <c r="W71" s="16">
        <f>W85</f>
        <v>1357.081770027564</v>
      </c>
      <c r="X71" s="8"/>
    </row>
    <row r="72" spans="1:24" ht="12.75" customHeight="1">
      <c r="A72" s="20"/>
      <c r="B72" s="6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8"/>
    </row>
    <row r="73" spans="1:24" ht="25.5">
      <c r="A73" s="20" t="s">
        <v>36</v>
      </c>
      <c r="B73" s="65" t="s">
        <v>129</v>
      </c>
      <c r="C73" s="16">
        <f aca="true" t="shared" si="18" ref="C73:W73">$C$22*B34*B41</f>
        <v>226.25249999999997</v>
      </c>
      <c r="D73" s="16">
        <f t="shared" si="18"/>
        <v>230.28545081249996</v>
      </c>
      <c r="E73" s="16">
        <f t="shared" si="18"/>
        <v>234.37864135312495</v>
      </c>
      <c r="F73" s="16">
        <f t="shared" si="18"/>
        <v>238.53256301402337</v>
      </c>
      <c r="G73" s="16">
        <f t="shared" si="18"/>
        <v>242.747694107121</v>
      </c>
      <c r="H73" s="16">
        <f t="shared" si="18"/>
        <v>247.02449890298976</v>
      </c>
      <c r="I73" s="16">
        <f t="shared" si="18"/>
        <v>251.36342662983498</v>
      </c>
      <c r="J73" s="16">
        <f t="shared" si="18"/>
        <v>255.7649104312081</v>
      </c>
      <c r="K73" s="16">
        <f t="shared" si="18"/>
        <v>260.22936628100626</v>
      </c>
      <c r="L73" s="16">
        <f t="shared" si="18"/>
        <v>264.75719185427477</v>
      </c>
      <c r="M73" s="16">
        <f t="shared" si="18"/>
        <v>269.3487653522811</v>
      </c>
      <c r="N73" s="16">
        <f t="shared" si="18"/>
        <v>274.00444428027885</v>
      </c>
      <c r="O73" s="16">
        <f t="shared" si="18"/>
        <v>278.72456417633134</v>
      </c>
      <c r="P73" s="16">
        <f t="shared" si="18"/>
        <v>283.5094372895112</v>
      </c>
      <c r="Q73" s="16">
        <f t="shared" si="18"/>
        <v>288.35935120573987</v>
      </c>
      <c r="R73" s="16">
        <f t="shared" si="18"/>
        <v>293.27456741947407</v>
      </c>
      <c r="S73" s="16">
        <f t="shared" si="18"/>
        <v>298.25531984939136</v>
      </c>
      <c r="T73" s="16">
        <f t="shared" si="18"/>
        <v>303.3018132961673</v>
      </c>
      <c r="U73" s="16">
        <f t="shared" si="18"/>
        <v>308.41422184037623</v>
      </c>
      <c r="V73" s="16">
        <f t="shared" si="18"/>
        <v>313.5926871784855</v>
      </c>
      <c r="W73" s="16">
        <f t="shared" si="18"/>
        <v>318.83731689484995</v>
      </c>
      <c r="X73" s="8"/>
    </row>
    <row r="74" spans="1:24" ht="12.75">
      <c r="A74" s="20"/>
      <c r="B74" s="6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8"/>
    </row>
    <row r="75" spans="1:24" ht="12.75">
      <c r="A75" s="20" t="s">
        <v>127</v>
      </c>
      <c r="B75" s="6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8"/>
    </row>
    <row r="76" spans="1:24" ht="12.75">
      <c r="A76" s="20"/>
      <c r="B76" s="6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8"/>
    </row>
    <row r="77" spans="1:24" ht="12.75">
      <c r="A77" s="20" t="s">
        <v>32</v>
      </c>
      <c r="B77" s="20"/>
      <c r="C77" s="7">
        <f>SUM(C69+C71+C73+C75)</f>
        <v>2111.8455</v>
      </c>
      <c r="D77" s="7">
        <f aca="true" t="shared" si="19" ref="D77:V77">SUM(D69+D71+D73)</f>
        <v>2157.3641325374997</v>
      </c>
      <c r="E77" s="7">
        <f t="shared" si="19"/>
        <v>2203.8031853193747</v>
      </c>
      <c r="F77" s="7">
        <f t="shared" si="19"/>
        <v>2251.1784093697074</v>
      </c>
      <c r="G77" s="7">
        <f t="shared" si="19"/>
        <v>2299.5056841618684</v>
      </c>
      <c r="H77" s="7">
        <f t="shared" si="19"/>
        <v>2348.8010105583758</v>
      </c>
      <c r="I77" s="7">
        <f t="shared" si="19"/>
        <v>2399.080503165491</v>
      </c>
      <c r="J77" s="7">
        <f t="shared" si="19"/>
        <v>2450.3603820715275</v>
      </c>
      <c r="K77" s="7">
        <f t="shared" si="19"/>
        <v>2502.6569639364025</v>
      </c>
      <c r="L77" s="7">
        <f t="shared" si="19"/>
        <v>2555.9866523984733</v>
      </c>
      <c r="M77" s="7">
        <f t="shared" si="19"/>
        <v>2610.3659277631464</v>
      </c>
      <c r="N77" s="7">
        <f t="shared" si="19"/>
        <v>2665.811335936108</v>
      </c>
      <c r="O77" s="7">
        <f t="shared" si="19"/>
        <v>2722.3394765623516</v>
      </c>
      <c r="P77" s="7">
        <f t="shared" si="19"/>
        <v>2779.9669903303748</v>
      </c>
      <c r="Q77" s="7">
        <f t="shared" si="19"/>
        <v>2838.710545399117</v>
      </c>
      <c r="R77" s="7">
        <f t="shared" si="19"/>
        <v>2898.586822903241</v>
      </c>
      <c r="S77" s="7">
        <f t="shared" si="19"/>
        <v>2959.6125014903982</v>
      </c>
      <c r="T77" s="7">
        <f t="shared" si="19"/>
        <v>3021.804240841979</v>
      </c>
      <c r="U77" s="7">
        <f t="shared" si="19"/>
        <v>3085.1786641267277</v>
      </c>
      <c r="V77" s="7">
        <f t="shared" si="19"/>
        <v>3149.75233933426</v>
      </c>
      <c r="W77" s="7">
        <f>SUM(W69+W71+W73)</f>
        <v>3215.5417594332157</v>
      </c>
      <c r="X77" s="8"/>
    </row>
    <row r="78" spans="1:24" ht="12.75">
      <c r="A78" s="19"/>
      <c r="B78" s="19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2"/>
    </row>
    <row r="79" spans="1:24" ht="12.75">
      <c r="A79" s="19" t="s">
        <v>33</v>
      </c>
      <c r="B79" s="19"/>
      <c r="C79" s="16">
        <f>C77-C65</f>
        <v>1100.5507916666666</v>
      </c>
      <c r="D79" s="16">
        <f aca="true" t="shared" si="20" ref="D79:V79">D77-D65</f>
        <v>580.9397660697916</v>
      </c>
      <c r="E79" s="16">
        <f t="shared" si="20"/>
        <v>611.9253056561977</v>
      </c>
      <c r="F79" s="16">
        <f t="shared" si="20"/>
        <v>976.8502132772805</v>
      </c>
      <c r="G79" s="16">
        <f t="shared" si="20"/>
        <v>361.9973295276516</v>
      </c>
      <c r="H79" s="16">
        <f t="shared" si="20"/>
        <v>394.82952598518796</v>
      </c>
      <c r="I79" s="16">
        <f t="shared" si="20"/>
        <v>460.64936464218476</v>
      </c>
      <c r="J79" s="16">
        <f t="shared" si="20"/>
        <v>527.1134235034135</v>
      </c>
      <c r="K79" s="16">
        <f t="shared" si="20"/>
        <v>374.23128832581415</v>
      </c>
      <c r="L79" s="16">
        <f t="shared" si="20"/>
        <v>442.01254380670525</v>
      </c>
      <c r="M79" s="16">
        <f t="shared" si="20"/>
        <v>510.4667641929059</v>
      </c>
      <c r="N79" s="16">
        <f t="shared" si="20"/>
        <v>579.6035032818913</v>
      </c>
      <c r="O79" s="16">
        <f t="shared" si="20"/>
        <v>649.432283784819</v>
      </c>
      <c r="P79" s="16">
        <f t="shared" si="20"/>
        <v>719.962586019913</v>
      </c>
      <c r="Q79" s="16">
        <f t="shared" si="20"/>
        <v>1011.2038359032726</v>
      </c>
      <c r="R79" s="16">
        <f t="shared" si="20"/>
        <v>1083.1653922027142</v>
      </c>
      <c r="S79" s="16">
        <f t="shared" si="20"/>
        <v>1155.856533018714</v>
      </c>
      <c r="T79" s="16">
        <f t="shared" si="20"/>
        <v>1229.2864414549229</v>
      </c>
      <c r="U79" s="16">
        <f t="shared" si="20"/>
        <v>1303.46419043907</v>
      </c>
      <c r="V79" s="16">
        <f t="shared" si="20"/>
        <v>1378.39872665332</v>
      </c>
      <c r="W79" s="16">
        <f>W77-W65</f>
        <v>1454.0988535313522</v>
      </c>
      <c r="X79" s="12"/>
    </row>
    <row r="80" spans="1:24" ht="12.75">
      <c r="A80" s="19"/>
      <c r="B80" s="19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2"/>
    </row>
    <row r="81" spans="1:24" ht="13.5" thickBot="1">
      <c r="A81" s="22" t="s">
        <v>34</v>
      </c>
      <c r="B81" s="22"/>
      <c r="C81" s="17">
        <f>C79</f>
        <v>1100.5507916666666</v>
      </c>
      <c r="D81" s="17">
        <f aca="true" t="shared" si="21" ref="D81:W81">D79+C81</f>
        <v>1681.4905577364582</v>
      </c>
      <c r="E81" s="17">
        <f t="shared" si="21"/>
        <v>2293.415863392656</v>
      </c>
      <c r="F81" s="17">
        <f t="shared" si="21"/>
        <v>3270.2660766699364</v>
      </c>
      <c r="G81" s="17">
        <f t="shared" si="21"/>
        <v>3632.2634061975878</v>
      </c>
      <c r="H81" s="17">
        <f t="shared" si="21"/>
        <v>4027.0929321827757</v>
      </c>
      <c r="I81" s="17">
        <f t="shared" si="21"/>
        <v>4487.74229682496</v>
      </c>
      <c r="J81" s="17">
        <f t="shared" si="21"/>
        <v>5014.8557203283735</v>
      </c>
      <c r="K81" s="17">
        <f t="shared" si="21"/>
        <v>5389.087008654187</v>
      </c>
      <c r="L81" s="17">
        <f t="shared" si="21"/>
        <v>5831.0995524608925</v>
      </c>
      <c r="M81" s="17">
        <f t="shared" si="21"/>
        <v>6341.566316653798</v>
      </c>
      <c r="N81" s="17">
        <f t="shared" si="21"/>
        <v>6921.169819935689</v>
      </c>
      <c r="O81" s="17">
        <f t="shared" si="21"/>
        <v>7570.602103720508</v>
      </c>
      <c r="P81" s="17">
        <f t="shared" si="21"/>
        <v>8290.564689740422</v>
      </c>
      <c r="Q81" s="17">
        <f t="shared" si="21"/>
        <v>9301.768525643694</v>
      </c>
      <c r="R81" s="17">
        <f t="shared" si="21"/>
        <v>10384.933917846409</v>
      </c>
      <c r="S81" s="17">
        <f t="shared" si="21"/>
        <v>11540.790450865123</v>
      </c>
      <c r="T81" s="17">
        <f t="shared" si="21"/>
        <v>12770.076892320045</v>
      </c>
      <c r="U81" s="17">
        <f t="shared" si="21"/>
        <v>14073.541082759115</v>
      </c>
      <c r="V81" s="17">
        <f t="shared" si="21"/>
        <v>15451.939809412435</v>
      </c>
      <c r="W81" s="17">
        <f t="shared" si="21"/>
        <v>16906.03866294379</v>
      </c>
      <c r="X81" s="13"/>
    </row>
    <row r="85" spans="1:24" ht="12.75">
      <c r="A85" s="42" t="s">
        <v>110</v>
      </c>
      <c r="B85" s="115" t="s">
        <v>66</v>
      </c>
      <c r="C85" s="16">
        <f>$C$20*B34*B38</f>
        <v>793.05</v>
      </c>
      <c r="D85" s="16">
        <f aca="true" t="shared" si="22" ref="D85:W85">$C$20*C34*C38</f>
        <v>815.0611027499999</v>
      </c>
      <c r="E85" s="16">
        <f t="shared" si="22"/>
        <v>837.6414964424998</v>
      </c>
      <c r="F85" s="16">
        <f t="shared" si="22"/>
        <v>860.8040678426061</v>
      </c>
      <c r="G85" s="16">
        <f t="shared" si="22"/>
        <v>884.5619084075776</v>
      </c>
      <c r="H85" s="16">
        <f t="shared" si="22"/>
        <v>908.9283128289899</v>
      </c>
      <c r="I85" s="16">
        <f t="shared" si="22"/>
        <v>933.9167772221017</v>
      </c>
      <c r="J85" s="16">
        <f t="shared" si="22"/>
        <v>959.540996939516</v>
      </c>
      <c r="K85" s="16">
        <f t="shared" si="22"/>
        <v>985.8148639850523</v>
      </c>
      <c r="L85" s="16">
        <f t="shared" si="22"/>
        <v>1012.752464002525</v>
      </c>
      <c r="M85" s="16">
        <f t="shared" si="22"/>
        <v>1040.3680728128393</v>
      </c>
      <c r="N85" s="16">
        <f t="shared" si="22"/>
        <v>1068.6761524714723</v>
      </c>
      <c r="O85" s="16">
        <f t="shared" si="22"/>
        <v>1097.6913468170142</v>
      </c>
      <c r="P85" s="16">
        <f t="shared" si="22"/>
        <v>1127.4284764799663</v>
      </c>
      <c r="Q85" s="16">
        <f t="shared" si="22"/>
        <v>1157.902533319474</v>
      </c>
      <c r="R85" s="16">
        <f t="shared" si="22"/>
        <v>1189.1286742540594</v>
      </c>
      <c r="S85" s="16">
        <f t="shared" si="22"/>
        <v>1221.1222144507494</v>
      </c>
      <c r="T85" s="16">
        <f t="shared" si="22"/>
        <v>1253.8986198352468</v>
      </c>
      <c r="U85" s="16">
        <f t="shared" si="22"/>
        <v>1287.4734988839566</v>
      </c>
      <c r="V85" s="16">
        <f t="shared" si="22"/>
        <v>1321.862593656778</v>
      </c>
      <c r="W85" s="16">
        <f t="shared" si="22"/>
        <v>1357.081770027564</v>
      </c>
      <c r="X85" s="8"/>
    </row>
    <row r="86" spans="1:24" ht="12.75">
      <c r="A86" s="44"/>
      <c r="B86" s="1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8"/>
    </row>
    <row r="87" spans="1:23" ht="12.75">
      <c r="A87" s="43" t="s">
        <v>109</v>
      </c>
      <c r="B87" s="115"/>
      <c r="C87" s="28">
        <f>C85</f>
        <v>793.05</v>
      </c>
      <c r="D87" s="28">
        <f>D85+C87</f>
        <v>1608.1111027499999</v>
      </c>
      <c r="E87" s="28">
        <f aca="true" t="shared" si="23" ref="E87:W87">E85+D87</f>
        <v>2445.7525991924995</v>
      </c>
      <c r="F87" s="28">
        <f t="shared" si="23"/>
        <v>3306.5566670351054</v>
      </c>
      <c r="G87" s="28">
        <f t="shared" si="23"/>
        <v>4191.118575442683</v>
      </c>
      <c r="H87" s="28">
        <f t="shared" si="23"/>
        <v>5100.046888271673</v>
      </c>
      <c r="I87" s="28">
        <f t="shared" si="23"/>
        <v>6033.963665493775</v>
      </c>
      <c r="J87" s="28">
        <f t="shared" si="23"/>
        <v>6993.504662433291</v>
      </c>
      <c r="K87" s="28">
        <f t="shared" si="23"/>
        <v>7979.319526418343</v>
      </c>
      <c r="L87" s="28">
        <f t="shared" si="23"/>
        <v>8992.071990420869</v>
      </c>
      <c r="M87" s="28">
        <f t="shared" si="23"/>
        <v>10032.44006323371</v>
      </c>
      <c r="N87" s="28">
        <f t="shared" si="23"/>
        <v>11101.116215705182</v>
      </c>
      <c r="O87" s="28">
        <f t="shared" si="23"/>
        <v>12198.807562522197</v>
      </c>
      <c r="P87" s="28">
        <f t="shared" si="23"/>
        <v>13326.236039002164</v>
      </c>
      <c r="Q87" s="28">
        <f t="shared" si="23"/>
        <v>14484.138572321637</v>
      </c>
      <c r="R87" s="28">
        <f t="shared" si="23"/>
        <v>15673.267246575697</v>
      </c>
      <c r="S87" s="28">
        <f t="shared" si="23"/>
        <v>16894.389461026447</v>
      </c>
      <c r="T87" s="28">
        <f t="shared" si="23"/>
        <v>18148.288080861694</v>
      </c>
      <c r="U87" s="28">
        <f t="shared" si="23"/>
        <v>19435.76157974565</v>
      </c>
      <c r="V87" s="28">
        <f t="shared" si="23"/>
        <v>20757.624173402426</v>
      </c>
      <c r="W87" s="28">
        <f t="shared" si="23"/>
        <v>22114.70594342999</v>
      </c>
    </row>
    <row r="90" ht="13.5" thickBot="1">
      <c r="A90" s="35" t="s">
        <v>67</v>
      </c>
    </row>
    <row r="91" spans="1:3" ht="13.5" thickBot="1">
      <c r="A91" s="45" t="s">
        <v>68</v>
      </c>
      <c r="B91" s="46"/>
      <c r="C91" s="75">
        <f>V81</f>
        <v>15451.939809412435</v>
      </c>
    </row>
    <row r="92" spans="1:3" ht="13.5" thickBot="1">
      <c r="A92" s="47" t="s">
        <v>72</v>
      </c>
      <c r="B92" s="45" t="s">
        <v>63</v>
      </c>
      <c r="C92" s="74">
        <v>0</v>
      </c>
    </row>
    <row r="93" spans="1:3" ht="13.5" thickBot="1">
      <c r="A93" s="47" t="s">
        <v>69</v>
      </c>
      <c r="B93" s="45" t="s">
        <v>60</v>
      </c>
      <c r="C93" s="76">
        <f>C92*C13</f>
        <v>0</v>
      </c>
    </row>
    <row r="94" spans="1:3" ht="13.5" thickBot="1">
      <c r="A94" s="46"/>
      <c r="B94" s="46"/>
      <c r="C94" s="46"/>
    </row>
    <row r="95" spans="1:3" ht="13.5" thickBot="1">
      <c r="A95" s="45" t="s">
        <v>73</v>
      </c>
      <c r="B95" s="45" t="s">
        <v>60</v>
      </c>
      <c r="C95" s="77">
        <f>C91+C93</f>
        <v>15451.939809412435</v>
      </c>
    </row>
    <row r="97" spans="1:3" ht="12.75">
      <c r="A97" s="45" t="s">
        <v>83</v>
      </c>
      <c r="C97" s="58">
        <f>W51</f>
        <v>-0.019999999994524842</v>
      </c>
    </row>
    <row r="98" spans="1:3" ht="12.75">
      <c r="A98" s="45" t="s">
        <v>108</v>
      </c>
      <c r="C98" s="61">
        <f>C95+C97</f>
        <v>15451.91980941244</v>
      </c>
    </row>
  </sheetData>
  <sheetProtection/>
  <mergeCells count="3">
    <mergeCell ref="B63:B64"/>
    <mergeCell ref="B68:B70"/>
    <mergeCell ref="B85:B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49.28125" style="0" customWidth="1"/>
    <col min="2" max="2" width="17.8515625" style="0" bestFit="1" customWidth="1"/>
    <col min="3" max="7" width="10.140625" style="0" customWidth="1"/>
    <col min="8" max="8" width="11.28125" style="0" bestFit="1" customWidth="1"/>
    <col min="9" max="9" width="12.28125" style="0" bestFit="1" customWidth="1"/>
    <col min="10" max="17" width="10.140625" style="0" customWidth="1"/>
    <col min="18" max="22" width="11.140625" style="0" customWidth="1"/>
  </cols>
  <sheetData>
    <row r="1" spans="1:22" s="1" customFormat="1" ht="12.75">
      <c r="A1" s="62" t="s">
        <v>134</v>
      </c>
      <c r="B1" s="62" t="s">
        <v>159</v>
      </c>
      <c r="C1" s="62" t="s">
        <v>6</v>
      </c>
      <c r="D1" s="62" t="s">
        <v>7</v>
      </c>
      <c r="E1" s="62" t="s">
        <v>8</v>
      </c>
      <c r="F1" s="62" t="s">
        <v>9</v>
      </c>
      <c r="G1" s="62" t="s">
        <v>10</v>
      </c>
      <c r="H1" s="62" t="s">
        <v>11</v>
      </c>
      <c r="I1" s="62" t="s">
        <v>12</v>
      </c>
      <c r="J1" s="62" t="s">
        <v>13</v>
      </c>
      <c r="K1" s="62" t="s">
        <v>14</v>
      </c>
      <c r="L1" s="62" t="s">
        <v>15</v>
      </c>
      <c r="M1" s="62" t="s">
        <v>16</v>
      </c>
      <c r="N1" s="62" t="s">
        <v>17</v>
      </c>
      <c r="O1" s="62" t="s">
        <v>18</v>
      </c>
      <c r="P1" s="62" t="s">
        <v>19</v>
      </c>
      <c r="Q1" s="62" t="s">
        <v>20</v>
      </c>
      <c r="R1" s="62" t="s">
        <v>21</v>
      </c>
      <c r="S1" s="62" t="s">
        <v>22</v>
      </c>
      <c r="T1" s="62" t="s">
        <v>23</v>
      </c>
      <c r="U1" s="62" t="s">
        <v>24</v>
      </c>
      <c r="V1" s="62" t="s">
        <v>25</v>
      </c>
    </row>
    <row r="2" spans="1:22" ht="12.75">
      <c r="A2" s="62" t="s">
        <v>132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12.75">
      <c r="A3" s="82" t="s">
        <v>133</v>
      </c>
      <c r="B3" s="63">
        <f>'Robert Smyth'!C69+'Archway House'!C69</f>
        <v>14281.263000000003</v>
      </c>
      <c r="C3" s="63">
        <f>'Robert Smyth'!D69+'Archway House'!D69</f>
        <v>14535.826512975</v>
      </c>
      <c r="D3" s="63">
        <f>'Robert Smyth'!E69+'Archway House'!E69</f>
        <v>14794.192412223752</v>
      </c>
      <c r="E3" s="63">
        <f>'Robert Smyth'!F69+'Archway House'!F69</f>
        <v>15056.39171486433</v>
      </c>
      <c r="F3" s="63">
        <f>'Robert Smyth'!G69+'Archway House'!G69</f>
        <v>15322.454612379293</v>
      </c>
      <c r="G3" s="63">
        <f>'Robert Smyth'!H69+'Archway House'!H69</f>
        <v>15592.41040994822</v>
      </c>
      <c r="H3" s="63">
        <f>'Robert Smyth'!I69+'Archway House'!I69</f>
        <v>15866.287463262852</v>
      </c>
      <c r="I3" s="63">
        <f>'Robert Smyth'!J69+'Archway House'!J69</f>
        <v>16144.113112736997</v>
      </c>
      <c r="J3" s="63">
        <f>'Robert Smyth'!K69+'Archway House'!K69</f>
        <v>16425.913615020316</v>
      </c>
      <c r="K3" s="63">
        <f>'Robert Smyth'!L69+'Archway House'!L69</f>
        <v>16711.714071722334</v>
      </c>
      <c r="L3" s="63">
        <f>'Robert Smyth'!M69+'Archway House'!M69</f>
        <v>17001.538355250064</v>
      </c>
      <c r="M3" s="63">
        <f>'Robert Smyth'!N69+'Archway House'!N69</f>
        <v>17295.40903165936</v>
      </c>
      <c r="N3" s="63">
        <f>'Robert Smyth'!O69+'Archway House'!O69</f>
        <v>17593.34728041709</v>
      </c>
      <c r="O3" s="63">
        <f>'Robert Smyth'!P69+'Archway House'!P69</f>
        <v>17895.372810967914</v>
      </c>
      <c r="P3" s="63">
        <f>'Robert Smyth'!Q69+'Archway House'!Q69</f>
        <v>18201.50377599602</v>
      </c>
      <c r="Q3" s="63">
        <f>'Robert Smyth'!R69+'Archway House'!R69</f>
        <v>18511.75668126868</v>
      </c>
      <c r="R3" s="63">
        <f>'Robert Smyth'!S69+'Archway House'!S69</f>
        <v>18826.14629194497</v>
      </c>
      <c r="S3" s="63">
        <f>'Robert Smyth'!T69+'Archway House'!T69</f>
        <v>19144.685535229288</v>
      </c>
      <c r="T3" s="63">
        <f>'Robert Smyth'!U69+'Archway House'!U69</f>
        <v>19467.385399245348</v>
      </c>
      <c r="U3" s="63">
        <f>'Robert Smyth'!V69+'Archway House'!V69</f>
        <v>19794.2548280027</v>
      </c>
      <c r="V3" s="63">
        <v>0</v>
      </c>
    </row>
    <row r="4" spans="1:22" ht="12.75">
      <c r="A4" s="82" t="s">
        <v>135</v>
      </c>
      <c r="B4" s="63">
        <f>'Robert Smyth'!C73+'Archway House'!C73</f>
        <v>1615.2924999999998</v>
      </c>
      <c r="C4" s="63">
        <f>'Robert Smyth'!D73+'Archway House'!D73</f>
        <v>1644.0850888124996</v>
      </c>
      <c r="D4" s="63">
        <f>'Robert Smyth'!E73+'Archway House'!E73</f>
        <v>1673.3077492531245</v>
      </c>
      <c r="E4" s="63">
        <f>'Robert Smyth'!F73+'Archway House'!F73</f>
        <v>1702.963989535273</v>
      </c>
      <c r="F4" s="63">
        <f>'Robert Smyth'!G73+'Archway House'!G73</f>
        <v>1733.0572244882455</v>
      </c>
      <c r="G4" s="63">
        <f>'Robert Smyth'!H73+'Archway House'!H73</f>
        <v>1763.590768695407</v>
      </c>
      <c r="H4" s="63">
        <f>'Robert Smyth'!I73+'Archway House'!I73</f>
        <v>1794.5678293476215</v>
      </c>
      <c r="I4" s="63">
        <f>'Robert Smyth'!J73+'Archway House'!J73</f>
        <v>1825.991498802012</v>
      </c>
      <c r="J4" s="63">
        <f>'Robert Smyth'!K73+'Archway House'!K73</f>
        <v>1857.86474683578</v>
      </c>
      <c r="K4" s="63">
        <f>'Robert Smyth'!L73+'Archway House'!L73</f>
        <v>1890.1904125844844</v>
      </c>
      <c r="L4" s="63">
        <f>'Robert Smyth'!M73+'Archway House'!M73</f>
        <v>1922.9711961538526</v>
      </c>
      <c r="M4" s="63">
        <f>'Robert Smyth'!N73+'Archway House'!N73</f>
        <v>1956.2096498938236</v>
      </c>
      <c r="N4" s="63">
        <f>'Robert Smyth'!O73+'Archway House'!O73</f>
        <v>1989.908169323197</v>
      </c>
      <c r="O4" s="63">
        <f>'Robert Smyth'!P73+'Archway House'!P73</f>
        <v>2024.0689836928555</v>
      </c>
      <c r="P4" s="63">
        <f>'Robert Smyth'!Q73+'Archway House'!Q73</f>
        <v>2058.6941461751694</v>
      </c>
      <c r="Q4" s="63">
        <f>'Robert Smyth'!R73+'Archway House'!R73</f>
        <v>2093.7855236667915</v>
      </c>
      <c r="R4" s="63">
        <f>'Robert Smyth'!S73+'Archway House'!S73</f>
        <v>2129.3447861916356</v>
      </c>
      <c r="S4" s="63">
        <f>'Robert Smyth'!T73+'Archway House'!T73</f>
        <v>2165.373395890429</v>
      </c>
      <c r="T4" s="63">
        <f>'Robert Smyth'!U73+'Archway House'!U73</f>
        <v>2201.872595582793</v>
      </c>
      <c r="U4" s="63">
        <f>'Robert Smyth'!V73+'Archway House'!V73</f>
        <v>2238.843396887344</v>
      </c>
      <c r="V4" s="63">
        <v>0</v>
      </c>
    </row>
    <row r="5" spans="1:22" ht="12.75">
      <c r="A5" s="82" t="s">
        <v>136</v>
      </c>
      <c r="B5" s="63">
        <f>'Robert Smyth'!C71+'Archway House'!C71</f>
        <v>12249.05</v>
      </c>
      <c r="C5" s="63">
        <f>'Robert Smyth'!D71+'Archway House'!D71</f>
        <v>12589.022382749998</v>
      </c>
      <c r="D5" s="63">
        <f>'Robert Smyth'!E71+'Archway House'!E71</f>
        <v>12937.787746042499</v>
      </c>
      <c r="E5" s="63">
        <f>'Robert Smyth'!F71+'Archway House'!F71</f>
        <v>13295.545132346602</v>
      </c>
      <c r="F5" s="63">
        <f>'Robert Smyth'!G71+'Archway House'!G71</f>
        <v>13662.496745703093</v>
      </c>
      <c r="G5" s="63">
        <f>'Robert Smyth'!H71+'Archway House'!H71</f>
        <v>14038.847929207412</v>
      </c>
      <c r="H5" s="63">
        <f>'Robert Smyth'!I71+'Archway House'!I71</f>
        <v>14424.80713704355</v>
      </c>
      <c r="I5" s="63">
        <f>'Robert Smyth'!J71+'Archway House'!J71</f>
        <v>14820.585900714936</v>
      </c>
      <c r="J5" s="63">
        <f>'Robert Smyth'!K71+'Archway House'!K71</f>
        <v>15226.398789100442</v>
      </c>
      <c r="K5" s="63">
        <f>'Robert Smyth'!L71+'Archway House'!L71</f>
        <v>15642.463361944556</v>
      </c>
      <c r="L5" s="63">
        <f>'Robert Smyth'!M71+'Archway House'!M71</f>
        <v>16069.000116371113</v>
      </c>
      <c r="M5" s="63">
        <f>'Robert Smyth'!N71+'Archway House'!N71</f>
        <v>16506.232425989143</v>
      </c>
      <c r="N5" s="63">
        <f>'Robert Smyth'!O71+'Archway House'!O71</f>
        <v>16954.386472137885</v>
      </c>
      <c r="O5" s="63">
        <f>'Robert Smyth'!P71+'Archway House'!P71</f>
        <v>17413.691166795197</v>
      </c>
      <c r="P5" s="63">
        <f>'Robert Smyth'!Q71+'Archway House'!Q71</f>
        <v>17884.378066650155</v>
      </c>
      <c r="Q5" s="63">
        <f>'Robert Smyth'!R71+'Archway House'!R71</f>
        <v>18366.68127781563</v>
      </c>
      <c r="R5" s="63">
        <f>'Robert Smyth'!S71+'Archway House'!S71</f>
        <v>18860.83735063105</v>
      </c>
      <c r="S5" s="63">
        <f>'Robert Smyth'!T71+'Archway House'!T71</f>
        <v>19367.085163978227</v>
      </c>
      <c r="T5" s="63">
        <f>'Robert Smyth'!U71+'Archway House'!U71</f>
        <v>19885.665798505175</v>
      </c>
      <c r="U5" s="63">
        <f>'Robert Smyth'!V71+'Archway House'!V71</f>
        <v>20416.822398123142</v>
      </c>
      <c r="V5" s="63">
        <v>0</v>
      </c>
    </row>
    <row r="6" spans="1:22" ht="12.75">
      <c r="A6" s="82" t="s">
        <v>137</v>
      </c>
      <c r="B6" s="63">
        <f>SUM(B3:B5)</f>
        <v>28145.6055</v>
      </c>
      <c r="C6" s="63">
        <f aca="true" t="shared" si="0" ref="C6:U6">SUM(C3:C5)</f>
        <v>28768.933984537496</v>
      </c>
      <c r="D6" s="63">
        <f t="shared" si="0"/>
        <v>29405.287907519378</v>
      </c>
      <c r="E6" s="63">
        <f t="shared" si="0"/>
        <v>30054.90083674621</v>
      </c>
      <c r="F6" s="63">
        <f t="shared" si="0"/>
        <v>30718.008582570634</v>
      </c>
      <c r="G6" s="63">
        <f t="shared" si="0"/>
        <v>31394.849107851038</v>
      </c>
      <c r="H6" s="63">
        <f t="shared" si="0"/>
        <v>32085.662429654025</v>
      </c>
      <c r="I6" s="63">
        <f t="shared" si="0"/>
        <v>32790.69051225395</v>
      </c>
      <c r="J6" s="63">
        <f t="shared" si="0"/>
        <v>33510.17715095654</v>
      </c>
      <c r="K6" s="63">
        <f t="shared" si="0"/>
        <v>34244.36784625138</v>
      </c>
      <c r="L6" s="63">
        <f t="shared" si="0"/>
        <v>34993.509667775026</v>
      </c>
      <c r="M6" s="63">
        <f t="shared" si="0"/>
        <v>35757.85110754233</v>
      </c>
      <c r="N6" s="63">
        <f t="shared" si="0"/>
        <v>36537.64192187817</v>
      </c>
      <c r="O6" s="63">
        <f t="shared" si="0"/>
        <v>37333.132961455965</v>
      </c>
      <c r="P6" s="63">
        <f t="shared" si="0"/>
        <v>38144.57598882135</v>
      </c>
      <c r="Q6" s="63">
        <f t="shared" si="0"/>
        <v>38972.2234827511</v>
      </c>
      <c r="R6" s="63">
        <f t="shared" si="0"/>
        <v>39816.32842876765</v>
      </c>
      <c r="S6" s="63">
        <f t="shared" si="0"/>
        <v>40677.144095097945</v>
      </c>
      <c r="T6" s="63">
        <f t="shared" si="0"/>
        <v>41554.92379333332</v>
      </c>
      <c r="U6" s="63">
        <f t="shared" si="0"/>
        <v>42449.92062301318</v>
      </c>
      <c r="V6" s="63">
        <f>SUM(V3:V5)</f>
        <v>0</v>
      </c>
    </row>
    <row r="7" spans="1:22" ht="12.7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</row>
    <row r="8" spans="1:22" ht="12.75">
      <c r="A8" s="98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</row>
    <row r="9" spans="1:22" ht="12.75">
      <c r="A9" s="101" t="s">
        <v>168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2" ht="12.75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1:22" ht="12.75">
      <c r="A11" s="94" t="s">
        <v>146</v>
      </c>
      <c r="B11" s="95">
        <v>0</v>
      </c>
      <c r="C11" s="95">
        <f aca="true" t="shared" si="1" ref="C11:V11">B23</f>
        <v>-240.7958749999998</v>
      </c>
      <c r="D11" s="95">
        <f t="shared" si="1"/>
        <v>10772.154613403123</v>
      </c>
      <c r="E11" s="95">
        <f t="shared" si="1"/>
        <v>22227.776794042657</v>
      </c>
      <c r="F11" s="95">
        <f t="shared" si="1"/>
        <v>32135.15007785231</v>
      </c>
      <c r="G11" s="95">
        <f t="shared" si="1"/>
        <v>32243.509112436535</v>
      </c>
      <c r="H11" s="95">
        <f t="shared" si="1"/>
        <v>33362.244855922465</v>
      </c>
      <c r="I11" s="95">
        <f t="shared" si="1"/>
        <v>34500.90556357558</v>
      </c>
      <c r="J11" s="95">
        <f t="shared" si="1"/>
        <v>35669.197680313955</v>
      </c>
      <c r="K11" s="95">
        <f t="shared" si="1"/>
        <v>34204.98663189296</v>
      </c>
      <c r="L11" s="95">
        <f t="shared" si="1"/>
        <v>33790.29750715216</v>
      </c>
      <c r="M11" s="95">
        <f t="shared" si="1"/>
        <v>34435.31562331834</v>
      </c>
      <c r="N11" s="95">
        <f t="shared" si="1"/>
        <v>35150.386965943384</v>
      </c>
      <c r="O11" s="95">
        <f t="shared" si="1"/>
        <v>34446.01849461951</v>
      </c>
      <c r="P11" s="95">
        <f t="shared" si="1"/>
        <v>34832.878305160666</v>
      </c>
      <c r="Q11" s="95">
        <f t="shared" si="1"/>
        <v>34559.22173506368</v>
      </c>
      <c r="R11" s="95">
        <f t="shared" si="1"/>
        <v>33857.00762459028</v>
      </c>
      <c r="S11" s="95">
        <f t="shared" si="1"/>
        <v>34056.25666172403</v>
      </c>
      <c r="T11" s="95">
        <f t="shared" si="1"/>
        <v>35166.044394704906</v>
      </c>
      <c r="U11" s="95">
        <f t="shared" si="1"/>
        <v>35195.959151781535</v>
      </c>
      <c r="V11" s="95">
        <f t="shared" si="1"/>
        <v>35655.09510974838</v>
      </c>
    </row>
    <row r="12" spans="1:22" ht="12.75">
      <c r="A12" s="94" t="s">
        <v>132</v>
      </c>
      <c r="B12" s="95">
        <f>B6</f>
        <v>28145.6055</v>
      </c>
      <c r="C12" s="95">
        <f>C6</f>
        <v>28768.933984537496</v>
      </c>
      <c r="D12" s="95">
        <f aca="true" t="shared" si="2" ref="D12:U12">D6</f>
        <v>29405.287907519378</v>
      </c>
      <c r="E12" s="95">
        <f t="shared" si="2"/>
        <v>30054.90083674621</v>
      </c>
      <c r="F12" s="95">
        <f t="shared" si="2"/>
        <v>30718.008582570634</v>
      </c>
      <c r="G12" s="95">
        <f t="shared" si="2"/>
        <v>31394.849107851038</v>
      </c>
      <c r="H12" s="95">
        <f t="shared" si="2"/>
        <v>32085.662429654025</v>
      </c>
      <c r="I12" s="95">
        <f t="shared" si="2"/>
        <v>32790.69051225395</v>
      </c>
      <c r="J12" s="95">
        <f t="shared" si="2"/>
        <v>33510.17715095654</v>
      </c>
      <c r="K12" s="95">
        <f t="shared" si="2"/>
        <v>34244.36784625138</v>
      </c>
      <c r="L12" s="95">
        <f t="shared" si="2"/>
        <v>34993.509667775026</v>
      </c>
      <c r="M12" s="95">
        <f t="shared" si="2"/>
        <v>35757.85110754233</v>
      </c>
      <c r="N12" s="95">
        <f t="shared" si="2"/>
        <v>36537.64192187817</v>
      </c>
      <c r="O12" s="95">
        <f t="shared" si="2"/>
        <v>37333.132961455965</v>
      </c>
      <c r="P12" s="95">
        <f t="shared" si="2"/>
        <v>38144.57598882135</v>
      </c>
      <c r="Q12" s="95">
        <f t="shared" si="2"/>
        <v>38972.2234827511</v>
      </c>
      <c r="R12" s="95">
        <f t="shared" si="2"/>
        <v>39816.32842876765</v>
      </c>
      <c r="S12" s="95">
        <f t="shared" si="2"/>
        <v>40677.144095097945</v>
      </c>
      <c r="T12" s="95">
        <f t="shared" si="2"/>
        <v>41554.92379333332</v>
      </c>
      <c r="U12" s="95">
        <f t="shared" si="2"/>
        <v>42449.92062301318</v>
      </c>
      <c r="V12" s="95">
        <v>0</v>
      </c>
    </row>
    <row r="13" spans="1:22" ht="12.75">
      <c r="A13" s="94" t="s">
        <v>154</v>
      </c>
      <c r="B13" s="95">
        <f>-('Robert Smyth'!C59+'Robert Smyth'!C60+'Robert Smyth'!C61+'Archway House'!C59+'Archway House'!C60+'Archway House'!C61)</f>
        <v>-8386.401375000001</v>
      </c>
      <c r="C13" s="95">
        <f>-('Robert Smyth'!D59+'Robert Smyth'!D60+'Robert Smyth'!D61+'Archway House'!D59+'Archway House'!D60+'Archway House'!D61)</f>
        <v>-8575.983496134375</v>
      </c>
      <c r="D13" s="95">
        <f>-('Robert Smyth'!E59+'Robert Smyth'!E60+'Robert Smyth'!E61+'Archway House'!E59+'Archway House'!E60+'Archway House'!E61)</f>
        <v>-8769.665726879843</v>
      </c>
      <c r="E13" s="95">
        <f>-('Robert Smyth'!F59+'Robert Smyth'!F60+'Robert Smyth'!F61+'Archway House'!F59+'Archway House'!F60+'Archway House'!F61)</f>
        <v>-8967.527552936552</v>
      </c>
      <c r="F13" s="95">
        <f>-('Robert Smyth'!G59+'Robert Smyth'!G60+'Robert Smyth'!G61+'Archway House'!G59+'Archway House'!G60+'Archway House'!G61)</f>
        <v>-9169.64954798641</v>
      </c>
      <c r="G13" s="95">
        <f>-('Robert Smyth'!H59+'Robert Smyth'!H60+'Robert Smyth'!H61+'Archway House'!H59+'Archway House'!H60+'Archway House'!H61)</f>
        <v>-9376.113364365103</v>
      </c>
      <c r="H13" s="95">
        <f>-('Robert Smyth'!I59+'Robert Smyth'!I60+'Robert Smyth'!I61+'Archway House'!I59+'Archway House'!I60+'Archway House'!I61)</f>
        <v>-9587.001722000909</v>
      </c>
      <c r="I13" s="95">
        <f>-('Robert Smyth'!J59+'Robert Smyth'!J60+'Robert Smyth'!J61+'Archway House'!J59+'Archway House'!J60+'Archway House'!J61)</f>
        <v>-9802.398395515575</v>
      </c>
      <c r="J13" s="95">
        <f>-('Robert Smyth'!K59+'Robert Smyth'!K60+'Robert Smyth'!K61+'Archway House'!K59+'Archway House'!K60+'Archway House'!K61)</f>
        <v>-13694.388199377523</v>
      </c>
      <c r="K13" s="95">
        <f>-('Robert Smyth'!L59+'Robert Smyth'!L60+'Robert Smyth'!L61+'Archway House'!L59+'Archway House'!L60+'Archway House'!L61)</f>
        <v>-13919.056970992193</v>
      </c>
      <c r="L13" s="95">
        <f>-('Robert Smyth'!M59+'Robert Smyth'!M60+'Robert Smyth'!M61+'Archway House'!M59+'Archway House'!M60+'Archway House'!M61)</f>
        <v>-14148.491551608839</v>
      </c>
      <c r="M13" s="95">
        <f>-('Robert Smyth'!N59+'Robert Smyth'!N60+'Robert Smyth'!N61+'Archway House'!N59+'Archway House'!N60+'Archway House'!N61)</f>
        <v>-14382.77976491729</v>
      </c>
      <c r="N13" s="95">
        <f>-('Robert Smyth'!O59+'Robert Smyth'!O60+'Robert Smyth'!O61+'Archway House'!O59+'Archway House'!O60+'Archway House'!O61)</f>
        <v>-14622.010393202043</v>
      </c>
      <c r="O13" s="95">
        <f>-('Robert Smyth'!P59+'Robert Smyth'!P60+'Robert Smyth'!P61+'Archway House'!P59+'Archway House'!P60+'Archway House'!P61)</f>
        <v>-14866.273150914805</v>
      </c>
      <c r="P13" s="95">
        <f>-('Robert Smyth'!Q59+'Robert Smyth'!Q60+'Robert Smyth'!Q61+'Archway House'!Q59+'Archway House'!Q60+'Archway House'!Q61)</f>
        <v>-11443.65865551992</v>
      </c>
      <c r="Q13" s="95">
        <f>-('Robert Smyth'!R59+'Robert Smyth'!R60+'Robert Smyth'!R61+'Archway House'!R59+'Archway House'!R60+'Archway House'!R61)</f>
        <v>-11698.258395460223</v>
      </c>
      <c r="R13" s="95">
        <f>-('Robert Smyth'!S59+'Robert Smyth'!S60+'Robert Smyth'!S61+'Archway House'!S59+'Archway House'!S60+'Archway House'!S61)</f>
        <v>-11958.164695083675</v>
      </c>
      <c r="S13" s="95">
        <f>-('Robert Smyth'!T59+'Robert Smyth'!T60+'Robert Smyth'!T61+'Archway House'!T59+'Archway House'!T60+'Archway House'!T61)</f>
        <v>-12223.470676363537</v>
      </c>
      <c r="T13" s="95">
        <f>-('Robert Smyth'!U59+'Robert Smyth'!U60+'Robert Smyth'!U61+'Archway House'!U59+'Archway House'!U60+'Archway House'!U61)</f>
        <v>-12494.270217237108</v>
      </c>
      <c r="U13" s="95">
        <f>-('Robert Smyth'!V59+'Robert Smyth'!V60+'Robert Smyth'!V61+'Archway House'!V59+'Archway House'!V60+'Archway House'!V61)</f>
        <v>-12770.65790637967</v>
      </c>
      <c r="V13" s="95">
        <f>-('Robert Smyth'!W59+'Robert Smyth'!W60+'Robert Smyth'!W61+'Archway House'!W59+'Archway House'!W60+'Archway House'!W61)</f>
        <v>-13052.7289942219</v>
      </c>
    </row>
    <row r="14" spans="1:22" ht="12.75">
      <c r="A14" s="94" t="s">
        <v>131</v>
      </c>
      <c r="B14" s="95">
        <v>-20000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</row>
    <row r="15" spans="1:22" ht="12.75">
      <c r="A15" s="101" t="s">
        <v>155</v>
      </c>
      <c r="B15" s="95">
        <f>B11+B12+B13+B14</f>
        <v>-240.7958749999998</v>
      </c>
      <c r="C15" s="95">
        <f>C11+C12+C13+C14</f>
        <v>19952.154613403123</v>
      </c>
      <c r="D15" s="95">
        <f aca="true" t="shared" si="3" ref="D15:V15">D11+D12+D13+D14</f>
        <v>31407.776794042657</v>
      </c>
      <c r="E15" s="95">
        <f t="shared" si="3"/>
        <v>43315.15007785231</v>
      </c>
      <c r="F15" s="95">
        <f t="shared" si="3"/>
        <v>53683.509112436535</v>
      </c>
      <c r="G15" s="95">
        <f t="shared" si="3"/>
        <v>54262.244855922465</v>
      </c>
      <c r="H15" s="95">
        <f t="shared" si="3"/>
        <v>55860.90556357558</v>
      </c>
      <c r="I15" s="95">
        <f t="shared" si="3"/>
        <v>57489.197680313955</v>
      </c>
      <c r="J15" s="95">
        <f t="shared" si="3"/>
        <v>55484.98663189296</v>
      </c>
      <c r="K15" s="95">
        <f t="shared" si="3"/>
        <v>54530.29750715216</v>
      </c>
      <c r="L15" s="95">
        <f t="shared" si="3"/>
        <v>54635.31562331834</v>
      </c>
      <c r="M15" s="95">
        <f t="shared" si="3"/>
        <v>55810.386965943384</v>
      </c>
      <c r="N15" s="95">
        <f t="shared" si="3"/>
        <v>57066.01849461951</v>
      </c>
      <c r="O15" s="95">
        <f t="shared" si="3"/>
        <v>56912.878305160666</v>
      </c>
      <c r="P15" s="95">
        <f t="shared" si="3"/>
        <v>61533.79563846209</v>
      </c>
      <c r="Q15" s="95">
        <f t="shared" si="3"/>
        <v>61833.18682235455</v>
      </c>
      <c r="R15" s="95">
        <f t="shared" si="3"/>
        <v>61715.17135827425</v>
      </c>
      <c r="S15" s="95">
        <f t="shared" si="3"/>
        <v>62509.930080458435</v>
      </c>
      <c r="T15" s="95">
        <f t="shared" si="3"/>
        <v>64226.69797080112</v>
      </c>
      <c r="U15" s="95">
        <f t="shared" si="3"/>
        <v>64875.22186841504</v>
      </c>
      <c r="V15" s="95">
        <f t="shared" si="3"/>
        <v>22602.366115526478</v>
      </c>
    </row>
    <row r="16" spans="1:22" ht="12.75">
      <c r="A16" s="94" t="s">
        <v>238</v>
      </c>
      <c r="B16" s="95">
        <f>'Financial Statement Forecast'!C69</f>
        <v>0</v>
      </c>
      <c r="C16" s="95">
        <f>'Financial Statement Forecast'!D69</f>
        <v>0</v>
      </c>
      <c r="D16" s="95">
        <f>'Financial Statement Forecast'!E69</f>
        <v>0</v>
      </c>
      <c r="E16" s="95">
        <f>'Financial Statement Forecast'!F69</f>
        <v>0</v>
      </c>
      <c r="F16" s="95">
        <f>'Financial Statement Forecast'!G69</f>
        <v>0</v>
      </c>
      <c r="G16" s="95">
        <f>'Financial Statement Forecast'!H69</f>
        <v>0</v>
      </c>
      <c r="H16" s="95">
        <f>'Financial Statement Forecast'!I69</f>
        <v>0</v>
      </c>
      <c r="I16" s="95">
        <f>'Financial Statement Forecast'!J69</f>
        <v>0</v>
      </c>
      <c r="J16" s="95">
        <f>'Financial Statement Forecast'!K69</f>
        <v>0</v>
      </c>
      <c r="K16" s="95">
        <f>'Financial Statement Forecast'!L69</f>
        <v>0</v>
      </c>
      <c r="L16" s="95">
        <f>'Financial Statement Forecast'!M69</f>
        <v>0</v>
      </c>
      <c r="M16" s="95">
        <f>'Financial Statement Forecast'!N69</f>
        <v>0</v>
      </c>
      <c r="N16" s="95">
        <f>'Financial Statement Forecast'!O69</f>
        <v>0</v>
      </c>
      <c r="O16" s="95">
        <f>-'Financial Statement Forecast'!P69</f>
        <v>0</v>
      </c>
      <c r="P16" s="95">
        <f>-'Financial Statement Forecast'!Q69</f>
        <v>-2934.573903398416</v>
      </c>
      <c r="Q16" s="95">
        <f>-'Financial Statement Forecast'!R69</f>
        <v>-4476.17919776427</v>
      </c>
      <c r="R16" s="95">
        <f>-'Financial Statement Forecast'!S69</f>
        <v>-4698.914696550222</v>
      </c>
      <c r="S16" s="95">
        <f>-'Financial Statement Forecast'!T69</f>
        <v>-4923.885685753532</v>
      </c>
      <c r="T16" s="95">
        <f>-'Financial Statement Forecast'!U69</f>
        <v>-5150.738819019585</v>
      </c>
      <c r="U16" s="95">
        <f>-'Financial Statement Forecast'!V69</f>
        <v>-5380.126758666665</v>
      </c>
      <c r="V16" s="95">
        <f>-'Financial Statement Forecast'!W69</f>
        <v>-5611.696124602637</v>
      </c>
    </row>
    <row r="17" spans="1:22" ht="12.75">
      <c r="A17" s="101" t="s">
        <v>239</v>
      </c>
      <c r="B17" s="95">
        <f>B15+B16</f>
        <v>-240.7958749999998</v>
      </c>
      <c r="C17" s="95">
        <f>C15+C16</f>
        <v>19952.154613403123</v>
      </c>
      <c r="D17" s="95">
        <f aca="true" t="shared" si="4" ref="D17:V17">D15+D16</f>
        <v>31407.776794042657</v>
      </c>
      <c r="E17" s="95">
        <f t="shared" si="4"/>
        <v>43315.15007785231</v>
      </c>
      <c r="F17" s="95">
        <f t="shared" si="4"/>
        <v>53683.509112436535</v>
      </c>
      <c r="G17" s="95">
        <f t="shared" si="4"/>
        <v>54262.244855922465</v>
      </c>
      <c r="H17" s="95">
        <f t="shared" si="4"/>
        <v>55860.90556357558</v>
      </c>
      <c r="I17" s="95">
        <f t="shared" si="4"/>
        <v>57489.197680313955</v>
      </c>
      <c r="J17" s="95">
        <f t="shared" si="4"/>
        <v>55484.98663189296</v>
      </c>
      <c r="K17" s="95">
        <f t="shared" si="4"/>
        <v>54530.29750715216</v>
      </c>
      <c r="L17" s="95">
        <f t="shared" si="4"/>
        <v>54635.31562331834</v>
      </c>
      <c r="M17" s="95">
        <f t="shared" si="4"/>
        <v>55810.386965943384</v>
      </c>
      <c r="N17" s="95">
        <f t="shared" si="4"/>
        <v>57066.01849461951</v>
      </c>
      <c r="O17" s="95">
        <f t="shared" si="4"/>
        <v>56912.878305160666</v>
      </c>
      <c r="P17" s="95">
        <f t="shared" si="4"/>
        <v>58599.22173506368</v>
      </c>
      <c r="Q17" s="95">
        <f t="shared" si="4"/>
        <v>57357.00762459028</v>
      </c>
      <c r="R17" s="95">
        <f t="shared" si="4"/>
        <v>57016.25666172403</v>
      </c>
      <c r="S17" s="95">
        <f t="shared" si="4"/>
        <v>57586.044394704906</v>
      </c>
      <c r="T17" s="95">
        <f t="shared" si="4"/>
        <v>59075.959151781535</v>
      </c>
      <c r="U17" s="95">
        <f t="shared" si="4"/>
        <v>59495.09510974838</v>
      </c>
      <c r="V17" s="95">
        <f t="shared" si="4"/>
        <v>16990.66999092384</v>
      </c>
    </row>
    <row r="18" spans="1:22" ht="12.75">
      <c r="A18" s="94" t="s">
        <v>167</v>
      </c>
      <c r="B18" s="95">
        <v>0</v>
      </c>
      <c r="C18" s="95">
        <v>0</v>
      </c>
      <c r="D18" s="95">
        <v>0</v>
      </c>
      <c r="E18" s="95">
        <v>0</v>
      </c>
      <c r="F18" s="95">
        <v>-10800</v>
      </c>
      <c r="G18" s="95">
        <v>-10800</v>
      </c>
      <c r="H18" s="95">
        <v>-10800</v>
      </c>
      <c r="I18" s="95">
        <v>-10800</v>
      </c>
      <c r="J18" s="95">
        <v>-10800</v>
      </c>
      <c r="K18" s="95">
        <v>-10800</v>
      </c>
      <c r="L18" s="95">
        <v>-10800</v>
      </c>
      <c r="M18" s="95">
        <v>-10800</v>
      </c>
      <c r="N18" s="95">
        <v>-10800</v>
      </c>
      <c r="O18" s="95">
        <v>-10800</v>
      </c>
      <c r="P18" s="95">
        <v>-10800</v>
      </c>
      <c r="Q18" s="95">
        <v>-10800</v>
      </c>
      <c r="R18" s="95">
        <v>-10800</v>
      </c>
      <c r="S18" s="95">
        <v>-10800</v>
      </c>
      <c r="T18" s="95">
        <v>-10800</v>
      </c>
      <c r="U18" s="95">
        <v>-10800</v>
      </c>
      <c r="V18" s="95">
        <v>-10800</v>
      </c>
    </row>
    <row r="19" spans="1:22" ht="12.75">
      <c r="A19" s="101" t="s">
        <v>156</v>
      </c>
      <c r="B19" s="95">
        <f>B17+B18</f>
        <v>-240.7958749999998</v>
      </c>
      <c r="C19" s="95">
        <f>C17+C18</f>
        <v>19952.154613403123</v>
      </c>
      <c r="D19" s="95">
        <f aca="true" t="shared" si="5" ref="D19:V19">D17+D18</f>
        <v>31407.776794042657</v>
      </c>
      <c r="E19" s="95">
        <f t="shared" si="5"/>
        <v>43315.15007785231</v>
      </c>
      <c r="F19" s="95">
        <f t="shared" si="5"/>
        <v>42883.509112436535</v>
      </c>
      <c r="G19" s="95">
        <f t="shared" si="5"/>
        <v>43462.244855922465</v>
      </c>
      <c r="H19" s="95">
        <f t="shared" si="5"/>
        <v>45060.90556357558</v>
      </c>
      <c r="I19" s="95">
        <f t="shared" si="5"/>
        <v>46689.197680313955</v>
      </c>
      <c r="J19" s="95">
        <f t="shared" si="5"/>
        <v>44684.98663189296</v>
      </c>
      <c r="K19" s="95">
        <f t="shared" si="5"/>
        <v>43730.29750715216</v>
      </c>
      <c r="L19" s="95">
        <f t="shared" si="5"/>
        <v>43835.31562331834</v>
      </c>
      <c r="M19" s="95">
        <f t="shared" si="5"/>
        <v>45010.386965943384</v>
      </c>
      <c r="N19" s="95">
        <f t="shared" si="5"/>
        <v>46266.01849461951</v>
      </c>
      <c r="O19" s="95">
        <f t="shared" si="5"/>
        <v>46112.878305160666</v>
      </c>
      <c r="P19" s="95">
        <f t="shared" si="5"/>
        <v>47799.22173506368</v>
      </c>
      <c r="Q19" s="95">
        <f t="shared" si="5"/>
        <v>46557.00762459028</v>
      </c>
      <c r="R19" s="95">
        <f t="shared" si="5"/>
        <v>46216.25666172403</v>
      </c>
      <c r="S19" s="95">
        <f t="shared" si="5"/>
        <v>46786.044394704906</v>
      </c>
      <c r="T19" s="95">
        <f t="shared" si="5"/>
        <v>48275.959151781535</v>
      </c>
      <c r="U19" s="95">
        <f t="shared" si="5"/>
        <v>48695.09510974838</v>
      </c>
      <c r="V19" s="95">
        <f t="shared" si="5"/>
        <v>6190.669990923841</v>
      </c>
    </row>
    <row r="20" spans="1:22" ht="12.75">
      <c r="A20" s="94" t="s">
        <v>157</v>
      </c>
      <c r="B20" s="95">
        <v>0</v>
      </c>
      <c r="C20" s="95">
        <f>-(B28-(C18+B18))/20</f>
        <v>-9180</v>
      </c>
      <c r="D20" s="95">
        <f>-(B28-(D18+C18+B18))/20</f>
        <v>-9180</v>
      </c>
      <c r="E20" s="95">
        <f>-(B28-(E18+D18+C18+B18))/20</f>
        <v>-9180</v>
      </c>
      <c r="F20" s="95">
        <f>-(B28+(F18+E18+D18+C18+B18))/20</f>
        <v>-8640</v>
      </c>
      <c r="G20" s="95">
        <f>-(B28+(G18+F18+E18+D18+C18+B18))/20</f>
        <v>-8100</v>
      </c>
      <c r="H20" s="95">
        <f>-(B28+(H18+G18+F18+E18+D18+C18+B18))/20</f>
        <v>-7560</v>
      </c>
      <c r="I20" s="95">
        <f>-(B28+(I18+H18+G18+F18+E18+D18+C18+B18))/20</f>
        <v>-7020</v>
      </c>
      <c r="J20" s="95">
        <f>-(B28+(J18+I18+H18+G18+F18+E18+D18+C18+B18))/20</f>
        <v>-6480</v>
      </c>
      <c r="K20" s="95">
        <f>-(B28+(K18+J18+I18+H18+G18+F18+E18+D18+C18+B18))/20</f>
        <v>-5940</v>
      </c>
      <c r="L20" s="95">
        <f>-(B28+(L18+K18+J18+I18+H18+G18+F18+E18+D18+C18+B18))/20</f>
        <v>-5400</v>
      </c>
      <c r="M20" s="95">
        <f>-(B28+(M18+L18+K18+J18+I18+H18+G18+F18+E18+D18+C18+B18))/20</f>
        <v>-4860</v>
      </c>
      <c r="N20" s="95">
        <f>-(B28+(N18+M18+L18+K18+J18+I18+H18+G18+F18+E18+D18+C18+B18))/20</f>
        <v>-4320</v>
      </c>
      <c r="O20" s="95">
        <f>-(B28+(O18+N18+M18+L18+K18+J18+I18+H18+G18+F18+E18+D18+C18+B18))/20</f>
        <v>-3780</v>
      </c>
      <c r="P20" s="95">
        <f>-(B28+(P18+O18+N18+M18+L18+K18+J18+I18+H18+G18+F18+E18+D18+C18+B18))/20</f>
        <v>-3240</v>
      </c>
      <c r="Q20" s="95">
        <f>-(B28+(Q18+P18+O18+N18+M18+L18+K18+J18+I18+H18+G18+F18+E18+D18+C18+B18))/20</f>
        <v>-2700</v>
      </c>
      <c r="R20" s="95">
        <f>-(B28+(R18+Q18+P18+O18+N18+M18+L18+K18+J18+I18+H18+G18+F18+E18+D18+C18+B18))/20</f>
        <v>-2160</v>
      </c>
      <c r="S20" s="95">
        <f>-(B28+(S18+R18+Q18+P18+O18+N18+M18+L18+K18+J18+I18+H18+G18+F18+E18+D18+C18+B18))/20</f>
        <v>-1620</v>
      </c>
      <c r="T20" s="95">
        <f>-(B28+(T18+S18+R18+Q18+P18+O18+N18+M18+L18+K18+J18+I18+H18+G18+F18+E18+D18+C18+B18))/20</f>
        <v>-1080</v>
      </c>
      <c r="U20" s="95">
        <f>-(B28+(U18+T18+S18+R18+Q18+P18+O18+N18+M18+L18+K18+J18+I18+H18+G18+F18+E18+D18+C18+B18))/20</f>
        <v>-540</v>
      </c>
      <c r="V20" s="95">
        <f>-(B28+(V18+U18+T18+S18+R18+Q18+P18+O18+N18+M18+L18+K18+J18+I18+H18+G18+F18+E18+D18+C18+B18))/20</f>
        <v>0</v>
      </c>
    </row>
    <row r="21" spans="1:22" ht="12.75">
      <c r="A21" s="94" t="s">
        <v>166</v>
      </c>
      <c r="B21" s="95">
        <v>0</v>
      </c>
      <c r="C21" s="95">
        <v>0</v>
      </c>
      <c r="D21" s="95">
        <v>0</v>
      </c>
      <c r="E21" s="95">
        <v>-2000</v>
      </c>
      <c r="F21" s="95">
        <v>-2000</v>
      </c>
      <c r="G21" s="95">
        <v>-2000</v>
      </c>
      <c r="H21" s="95">
        <v>-3000</v>
      </c>
      <c r="I21" s="95">
        <v>-4000</v>
      </c>
      <c r="J21" s="95">
        <v>-4000</v>
      </c>
      <c r="K21" s="95">
        <v>-4000</v>
      </c>
      <c r="L21" s="95">
        <v>-4000</v>
      </c>
      <c r="M21" s="95">
        <v>-5000</v>
      </c>
      <c r="N21" s="95">
        <v>-7500</v>
      </c>
      <c r="O21" s="95">
        <v>-7500</v>
      </c>
      <c r="P21" s="95">
        <v>-10000</v>
      </c>
      <c r="Q21" s="95">
        <v>-10000</v>
      </c>
      <c r="R21" s="95">
        <v>-10000</v>
      </c>
      <c r="S21" s="95">
        <v>-10000</v>
      </c>
      <c r="T21" s="95">
        <v>-12000</v>
      </c>
      <c r="U21" s="95">
        <v>-12500</v>
      </c>
      <c r="V21" s="95"/>
    </row>
    <row r="22" spans="1:22" ht="12.75">
      <c r="A22" s="101" t="s">
        <v>240</v>
      </c>
      <c r="B22" s="95">
        <f>B12+B13+B14+B16+B18+B20+B21</f>
        <v>-240.7958749999998</v>
      </c>
      <c r="C22" s="95">
        <f aca="true" t="shared" si="6" ref="C22:U22">C12+C13+C14+C16+C18+C20+C21</f>
        <v>11012.95048840312</v>
      </c>
      <c r="D22" s="95">
        <f t="shared" si="6"/>
        <v>11455.622180639533</v>
      </c>
      <c r="E22" s="95">
        <f t="shared" si="6"/>
        <v>9907.373283809655</v>
      </c>
      <c r="F22" s="95">
        <f t="shared" si="6"/>
        <v>108.35903458422399</v>
      </c>
      <c r="G22" s="95">
        <f t="shared" si="6"/>
        <v>1118.7357434859368</v>
      </c>
      <c r="H22" s="95">
        <f t="shared" si="6"/>
        <v>1138.6607076531145</v>
      </c>
      <c r="I22" s="95">
        <f t="shared" si="6"/>
        <v>1168.292116738372</v>
      </c>
      <c r="J22" s="95">
        <f t="shared" si="6"/>
        <v>-1464.2110484209843</v>
      </c>
      <c r="K22" s="95">
        <f t="shared" si="6"/>
        <v>-414.689124740813</v>
      </c>
      <c r="L22" s="95">
        <f t="shared" si="6"/>
        <v>645.0181161661894</v>
      </c>
      <c r="M22" s="95">
        <f t="shared" si="6"/>
        <v>715.0713426250404</v>
      </c>
      <c r="N22" s="95">
        <f t="shared" si="6"/>
        <v>-704.3684713238763</v>
      </c>
      <c r="O22" s="95">
        <f t="shared" si="6"/>
        <v>386.85981054115837</v>
      </c>
      <c r="P22" s="95">
        <f t="shared" si="6"/>
        <v>-273.65657009698407</v>
      </c>
      <c r="Q22" s="95">
        <f t="shared" si="6"/>
        <v>-702.2141104733964</v>
      </c>
      <c r="R22" s="95">
        <f t="shared" si="6"/>
        <v>199.24903713375534</v>
      </c>
      <c r="S22" s="95">
        <f t="shared" si="6"/>
        <v>1109.7877329808762</v>
      </c>
      <c r="T22" s="95">
        <f t="shared" si="6"/>
        <v>29.91475707662903</v>
      </c>
      <c r="U22" s="95">
        <f t="shared" si="6"/>
        <v>459.13595796684604</v>
      </c>
      <c r="V22" s="95">
        <f>V12+V13+V14+V16+V18+V20+V21</f>
        <v>-29464.425118824536</v>
      </c>
    </row>
    <row r="23" spans="1:22" ht="12.75">
      <c r="A23" s="101" t="s">
        <v>158</v>
      </c>
      <c r="B23" s="95">
        <f>B19+B20+B21</f>
        <v>-240.7958749999998</v>
      </c>
      <c r="C23" s="95">
        <f aca="true" t="shared" si="7" ref="C23:V23">C19+C20+C21</f>
        <v>10772.154613403123</v>
      </c>
      <c r="D23" s="95">
        <f t="shared" si="7"/>
        <v>22227.776794042657</v>
      </c>
      <c r="E23" s="95">
        <f t="shared" si="7"/>
        <v>32135.15007785231</v>
      </c>
      <c r="F23" s="95">
        <f t="shared" si="7"/>
        <v>32243.509112436535</v>
      </c>
      <c r="G23" s="95">
        <f t="shared" si="7"/>
        <v>33362.244855922465</v>
      </c>
      <c r="H23" s="95">
        <f t="shared" si="7"/>
        <v>34500.90556357558</v>
      </c>
      <c r="I23" s="95">
        <f t="shared" si="7"/>
        <v>35669.197680313955</v>
      </c>
      <c r="J23" s="95">
        <f t="shared" si="7"/>
        <v>34204.98663189296</v>
      </c>
      <c r="K23" s="95">
        <f t="shared" si="7"/>
        <v>33790.29750715216</v>
      </c>
      <c r="L23" s="95">
        <f t="shared" si="7"/>
        <v>34435.31562331834</v>
      </c>
      <c r="M23" s="95">
        <f t="shared" si="7"/>
        <v>35150.386965943384</v>
      </c>
      <c r="N23" s="95">
        <f t="shared" si="7"/>
        <v>34446.01849461951</v>
      </c>
      <c r="O23" s="95">
        <f t="shared" si="7"/>
        <v>34832.878305160666</v>
      </c>
      <c r="P23" s="95">
        <f t="shared" si="7"/>
        <v>34559.22173506368</v>
      </c>
      <c r="Q23" s="95">
        <f t="shared" si="7"/>
        <v>33857.00762459028</v>
      </c>
      <c r="R23" s="95">
        <f t="shared" si="7"/>
        <v>34056.25666172403</v>
      </c>
      <c r="S23" s="95">
        <f t="shared" si="7"/>
        <v>35166.044394704906</v>
      </c>
      <c r="T23" s="95">
        <f t="shared" si="7"/>
        <v>35195.959151781535</v>
      </c>
      <c r="U23" s="95">
        <f t="shared" si="7"/>
        <v>35655.09510974838</v>
      </c>
      <c r="V23" s="95">
        <f t="shared" si="7"/>
        <v>6190.669990923841</v>
      </c>
    </row>
    <row r="24" spans="1:22" ht="12.7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ht="12.75">
      <c r="A25" s="98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</row>
    <row r="26" spans="1:21" ht="12.7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3"/>
      <c r="R26" s="93"/>
      <c r="S26" s="93"/>
      <c r="T26" s="93"/>
      <c r="U26" s="93"/>
    </row>
    <row r="28" spans="1:2" ht="12.75">
      <c r="A28" s="62" t="s">
        <v>152</v>
      </c>
      <c r="B28" s="88">
        <f>'Robert Smyth'!C13+'Archway House'!C13</f>
        <v>183600</v>
      </c>
    </row>
    <row r="29" spans="1:2" ht="12.75">
      <c r="A29" s="78" t="s">
        <v>150</v>
      </c>
      <c r="B29" s="88">
        <f>SUM(B20:V20)</f>
        <v>-100980</v>
      </c>
    </row>
    <row r="30" spans="1:2" ht="12.75">
      <c r="A30" s="78" t="s">
        <v>151</v>
      </c>
      <c r="B30" s="88">
        <f>SUM(B18:V18)</f>
        <v>-183600</v>
      </c>
    </row>
    <row r="31" spans="1:2" ht="12.75">
      <c r="A31" s="78" t="s">
        <v>153</v>
      </c>
      <c r="B31" s="88">
        <f>SUM(B21:V21)</f>
        <v>-109500</v>
      </c>
    </row>
    <row r="32" spans="1:2" ht="12.75">
      <c r="A32" s="87"/>
      <c r="B32" s="100"/>
    </row>
    <row r="33" spans="1:2" ht="12.75">
      <c r="A33" s="87"/>
      <c r="B33" s="100"/>
    </row>
    <row r="34" ht="12.75">
      <c r="A34" s="62" t="s">
        <v>165</v>
      </c>
    </row>
    <row r="35" spans="1:9" ht="12.75">
      <c r="A35" s="88" t="s">
        <v>134</v>
      </c>
      <c r="B35" s="88" t="s">
        <v>159</v>
      </c>
      <c r="C35" s="88" t="s">
        <v>6</v>
      </c>
      <c r="D35" s="88" t="s">
        <v>7</v>
      </c>
      <c r="E35" s="88" t="s">
        <v>8</v>
      </c>
      <c r="F35" s="88" t="s">
        <v>9</v>
      </c>
      <c r="G35" s="88" t="s">
        <v>10</v>
      </c>
      <c r="H35" s="88" t="s">
        <v>162</v>
      </c>
      <c r="I35" s="90" t="s">
        <v>163</v>
      </c>
    </row>
    <row r="36" spans="1:9" ht="12.75">
      <c r="A36" s="88" t="s">
        <v>160</v>
      </c>
      <c r="B36" s="88" t="s">
        <v>161</v>
      </c>
      <c r="C36" s="88"/>
      <c r="D36" s="88"/>
      <c r="E36" s="88"/>
      <c r="F36" s="88"/>
      <c r="G36" s="88"/>
      <c r="H36" s="88"/>
      <c r="I36" s="86"/>
    </row>
    <row r="37" spans="1:9" ht="12.75">
      <c r="A37" s="88" t="s">
        <v>132</v>
      </c>
      <c r="B37" s="63"/>
      <c r="C37" s="63"/>
      <c r="D37" s="63"/>
      <c r="E37" s="63"/>
      <c r="F37" s="63"/>
      <c r="G37" s="63"/>
      <c r="H37" s="63"/>
      <c r="I37" s="86"/>
    </row>
    <row r="38" spans="1:9" ht="12.75">
      <c r="A38" s="89" t="s">
        <v>133</v>
      </c>
      <c r="B38" s="63">
        <f aca="true" t="shared" si="8" ref="B38:G40">B3</f>
        <v>14281.263000000003</v>
      </c>
      <c r="C38" s="63">
        <f t="shared" si="8"/>
        <v>14535.826512975</v>
      </c>
      <c r="D38" s="63">
        <f t="shared" si="8"/>
        <v>14794.192412223752</v>
      </c>
      <c r="E38" s="63">
        <f t="shared" si="8"/>
        <v>15056.39171486433</v>
      </c>
      <c r="F38" s="63">
        <f t="shared" si="8"/>
        <v>15322.454612379293</v>
      </c>
      <c r="G38" s="63">
        <f t="shared" si="8"/>
        <v>15592.41040994822</v>
      </c>
      <c r="H38" s="63">
        <f>SUM(H3:L3)</f>
        <v>82149.56661799256</v>
      </c>
      <c r="I38" s="63">
        <f>SUM(M3:V3)</f>
        <v>166729.86163473138</v>
      </c>
    </row>
    <row r="39" spans="1:9" ht="12.75">
      <c r="A39" s="89" t="s">
        <v>135</v>
      </c>
      <c r="B39" s="63">
        <f t="shared" si="8"/>
        <v>1615.2924999999998</v>
      </c>
      <c r="C39" s="63">
        <f t="shared" si="8"/>
        <v>1644.0850888124996</v>
      </c>
      <c r="D39" s="63">
        <f t="shared" si="8"/>
        <v>1673.3077492531245</v>
      </c>
      <c r="E39" s="63">
        <f t="shared" si="8"/>
        <v>1702.963989535273</v>
      </c>
      <c r="F39" s="63">
        <f t="shared" si="8"/>
        <v>1733.0572244882455</v>
      </c>
      <c r="G39" s="63">
        <f t="shared" si="8"/>
        <v>1763.590768695407</v>
      </c>
      <c r="H39" s="63">
        <f>SUM(H4:L4)</f>
        <v>9291.58568372375</v>
      </c>
      <c r="I39" s="63">
        <f>SUM(M4:V4)</f>
        <v>18858.100647304036</v>
      </c>
    </row>
    <row r="40" spans="1:9" ht="12.75">
      <c r="A40" s="89" t="s">
        <v>136</v>
      </c>
      <c r="B40" s="63">
        <f t="shared" si="8"/>
        <v>12249.05</v>
      </c>
      <c r="C40" s="63">
        <f t="shared" si="8"/>
        <v>12589.022382749998</v>
      </c>
      <c r="D40" s="63">
        <f t="shared" si="8"/>
        <v>12937.787746042499</v>
      </c>
      <c r="E40" s="63">
        <f t="shared" si="8"/>
        <v>13295.545132346602</v>
      </c>
      <c r="F40" s="63">
        <f t="shared" si="8"/>
        <v>13662.496745703093</v>
      </c>
      <c r="G40" s="63">
        <f t="shared" si="8"/>
        <v>14038.847929207412</v>
      </c>
      <c r="H40" s="63">
        <f>SUM(H5:L5)</f>
        <v>76183.25530517459</v>
      </c>
      <c r="I40" s="63">
        <f>SUM(M5:V5)</f>
        <v>165655.78012062563</v>
      </c>
    </row>
    <row r="41" spans="1:9" ht="12.75">
      <c r="A41" s="89" t="s">
        <v>137</v>
      </c>
      <c r="B41" s="63">
        <f>SUM(B38:B40)</f>
        <v>28145.6055</v>
      </c>
      <c r="C41" s="63">
        <f aca="true" t="shared" si="9" ref="C41:H41">SUM(C38:C40)</f>
        <v>28768.933984537496</v>
      </c>
      <c r="D41" s="63">
        <f t="shared" si="9"/>
        <v>29405.287907519378</v>
      </c>
      <c r="E41" s="63">
        <f t="shared" si="9"/>
        <v>30054.90083674621</v>
      </c>
      <c r="F41" s="63">
        <f t="shared" si="9"/>
        <v>30718.008582570634</v>
      </c>
      <c r="G41" s="63">
        <f t="shared" si="9"/>
        <v>31394.849107851038</v>
      </c>
      <c r="H41" s="63">
        <f t="shared" si="9"/>
        <v>167624.4076068909</v>
      </c>
      <c r="I41" s="63">
        <f>SUM(I38:I40)</f>
        <v>351243.742402661</v>
      </c>
    </row>
    <row r="42" spans="1:9" ht="12.75">
      <c r="A42" s="90" t="s">
        <v>138</v>
      </c>
      <c r="B42" s="63"/>
      <c r="C42" s="63"/>
      <c r="D42" s="63"/>
      <c r="E42" s="63"/>
      <c r="F42" s="63"/>
      <c r="G42" s="63"/>
      <c r="H42" s="63"/>
      <c r="I42" s="63"/>
    </row>
    <row r="43" spans="1:9" ht="12.75">
      <c r="A43" s="89" t="s">
        <v>144</v>
      </c>
      <c r="B43" s="63">
        <f aca="true" t="shared" si="10" ref="B43:G44">B13</f>
        <v>-8386.401375000001</v>
      </c>
      <c r="C43" s="63">
        <f t="shared" si="10"/>
        <v>-8575.983496134375</v>
      </c>
      <c r="D43" s="63">
        <f t="shared" si="10"/>
        <v>-8769.665726879843</v>
      </c>
      <c r="E43" s="63">
        <f t="shared" si="10"/>
        <v>-8967.527552936552</v>
      </c>
      <c r="F43" s="63">
        <f t="shared" si="10"/>
        <v>-9169.64954798641</v>
      </c>
      <c r="G43" s="63">
        <f t="shared" si="10"/>
        <v>-9376.113364365103</v>
      </c>
      <c r="H43" s="63">
        <f>SUM(H13:L13)</f>
        <v>-61151.33683949503</v>
      </c>
      <c r="I43" s="63">
        <f>SUM(M13:V13)</f>
        <v>-129512.27284930015</v>
      </c>
    </row>
    <row r="44" spans="1:9" ht="12.75">
      <c r="A44" s="89" t="s">
        <v>131</v>
      </c>
      <c r="B44" s="63">
        <f>B14</f>
        <v>-20000</v>
      </c>
      <c r="C44" s="63">
        <f t="shared" si="10"/>
        <v>0</v>
      </c>
      <c r="D44" s="63">
        <f t="shared" si="10"/>
        <v>0</v>
      </c>
      <c r="E44" s="63">
        <f t="shared" si="10"/>
        <v>0</v>
      </c>
      <c r="F44" s="63">
        <f t="shared" si="10"/>
        <v>0</v>
      </c>
      <c r="G44" s="63">
        <f t="shared" si="10"/>
        <v>0</v>
      </c>
      <c r="H44" s="63">
        <v>0</v>
      </c>
      <c r="I44" s="63">
        <v>0</v>
      </c>
    </row>
    <row r="45" spans="1:9" ht="12.75">
      <c r="A45" s="89" t="s">
        <v>238</v>
      </c>
      <c r="B45" s="63">
        <f aca="true" t="shared" si="11" ref="B45:G45">B16</f>
        <v>0</v>
      </c>
      <c r="C45" s="63">
        <f t="shared" si="11"/>
        <v>0</v>
      </c>
      <c r="D45" s="63">
        <f t="shared" si="11"/>
        <v>0</v>
      </c>
      <c r="E45" s="63">
        <f t="shared" si="11"/>
        <v>0</v>
      </c>
      <c r="F45" s="63">
        <f t="shared" si="11"/>
        <v>0</v>
      </c>
      <c r="G45" s="63">
        <f t="shared" si="11"/>
        <v>0</v>
      </c>
      <c r="H45" s="63">
        <f>SUM(H16:L16)</f>
        <v>0</v>
      </c>
      <c r="I45" s="63">
        <f>SUM(M16:V16)</f>
        <v>-33176.11518575533</v>
      </c>
    </row>
    <row r="46" spans="1:9" ht="12.75">
      <c r="A46" s="89" t="s">
        <v>139</v>
      </c>
      <c r="B46" s="63">
        <f>SUM(B43:B45)</f>
        <v>-28386.401375</v>
      </c>
      <c r="C46" s="63">
        <f aca="true" t="shared" si="12" ref="C46:H46">SUM(C43:C45)</f>
        <v>-8575.983496134375</v>
      </c>
      <c r="D46" s="63">
        <f t="shared" si="12"/>
        <v>-8769.665726879843</v>
      </c>
      <c r="E46" s="63">
        <f t="shared" si="12"/>
        <v>-8967.527552936552</v>
      </c>
      <c r="F46" s="63">
        <f t="shared" si="12"/>
        <v>-9169.64954798641</v>
      </c>
      <c r="G46" s="63">
        <f t="shared" si="12"/>
        <v>-9376.113364365103</v>
      </c>
      <c r="H46" s="63">
        <f t="shared" si="12"/>
        <v>-61151.33683949503</v>
      </c>
      <c r="I46" s="63">
        <f>SUM(I43:I45)</f>
        <v>-162688.38803505548</v>
      </c>
    </row>
    <row r="47" spans="1:9" ht="12.75">
      <c r="A47" s="90" t="s">
        <v>140</v>
      </c>
      <c r="B47" s="63"/>
      <c r="C47" s="63"/>
      <c r="D47" s="63"/>
      <c r="E47" s="63"/>
      <c r="F47" s="63"/>
      <c r="G47" s="63"/>
      <c r="H47" s="63"/>
      <c r="I47" s="63"/>
    </row>
    <row r="48" spans="1:9" ht="12.75">
      <c r="A48" s="89" t="s">
        <v>141</v>
      </c>
      <c r="B48" s="63">
        <f aca="true" t="shared" si="13" ref="B48:I48">B41+B46</f>
        <v>-240.7958749999998</v>
      </c>
      <c r="C48" s="63">
        <f t="shared" si="13"/>
        <v>20192.95048840312</v>
      </c>
      <c r="D48" s="63">
        <f t="shared" si="13"/>
        <v>20635.622180639533</v>
      </c>
      <c r="E48" s="63">
        <f t="shared" si="13"/>
        <v>21087.373283809655</v>
      </c>
      <c r="F48" s="63">
        <f t="shared" si="13"/>
        <v>21548.359034584224</v>
      </c>
      <c r="G48" s="63">
        <f t="shared" si="13"/>
        <v>22018.735743485937</v>
      </c>
      <c r="H48" s="63">
        <f t="shared" si="13"/>
        <v>106473.07076739587</v>
      </c>
      <c r="I48" s="63">
        <f t="shared" si="13"/>
        <v>188555.35436760553</v>
      </c>
    </row>
    <row r="49" spans="1:9" ht="12.75">
      <c r="A49" s="89" t="s">
        <v>142</v>
      </c>
      <c r="B49" s="63">
        <f aca="true" t="shared" si="14" ref="B49:G49">B21</f>
        <v>0</v>
      </c>
      <c r="C49" s="63">
        <f t="shared" si="14"/>
        <v>0</v>
      </c>
      <c r="D49" s="63">
        <f t="shared" si="14"/>
        <v>0</v>
      </c>
      <c r="E49" s="63">
        <f t="shared" si="14"/>
        <v>-2000</v>
      </c>
      <c r="F49" s="63">
        <f t="shared" si="14"/>
        <v>-2000</v>
      </c>
      <c r="G49" s="63">
        <f t="shared" si="14"/>
        <v>-2000</v>
      </c>
      <c r="H49" s="63">
        <f>SUM(H21:L21)</f>
        <v>-19000</v>
      </c>
      <c r="I49" s="63">
        <f>SUM(M21:V21)</f>
        <v>-84500</v>
      </c>
    </row>
    <row r="50" spans="1:9" ht="12.75">
      <c r="A50" s="89" t="s">
        <v>147</v>
      </c>
      <c r="B50" s="63">
        <f>B48+B49</f>
        <v>-240.7958749999998</v>
      </c>
      <c r="C50" s="63">
        <f aca="true" t="shared" si="15" ref="C50:H50">C48+C49</f>
        <v>20192.95048840312</v>
      </c>
      <c r="D50" s="63">
        <f t="shared" si="15"/>
        <v>20635.622180639533</v>
      </c>
      <c r="E50" s="63">
        <f t="shared" si="15"/>
        <v>19087.373283809655</v>
      </c>
      <c r="F50" s="63">
        <f t="shared" si="15"/>
        <v>19548.359034584224</v>
      </c>
      <c r="G50" s="63">
        <f t="shared" si="15"/>
        <v>20018.735743485937</v>
      </c>
      <c r="H50" s="63">
        <f t="shared" si="15"/>
        <v>87473.07076739587</v>
      </c>
      <c r="I50" s="63">
        <f>I48+I49</f>
        <v>104055.35436760553</v>
      </c>
    </row>
    <row r="51" spans="1:9" ht="12.75">
      <c r="A51" s="90" t="s">
        <v>143</v>
      </c>
      <c r="B51" s="63"/>
      <c r="C51" s="63"/>
      <c r="D51" s="63"/>
      <c r="E51" s="63"/>
      <c r="F51" s="63"/>
      <c r="G51" s="63"/>
      <c r="H51" s="63"/>
      <c r="I51" s="63"/>
    </row>
    <row r="52" spans="1:9" ht="12.75">
      <c r="A52" s="89" t="s">
        <v>146</v>
      </c>
      <c r="B52" s="63">
        <v>0</v>
      </c>
      <c r="C52" s="63">
        <f aca="true" t="shared" si="16" ref="C52:I52">B56</f>
        <v>-240.7958749999998</v>
      </c>
      <c r="D52" s="63">
        <f t="shared" si="16"/>
        <v>10772.15461340312</v>
      </c>
      <c r="E52" s="63">
        <f t="shared" si="16"/>
        <v>22227.776794042653</v>
      </c>
      <c r="F52" s="63">
        <f t="shared" si="16"/>
        <v>32135.150077852304</v>
      </c>
      <c r="G52" s="63">
        <f t="shared" si="16"/>
        <v>32243.509112436528</v>
      </c>
      <c r="H52" s="63">
        <f t="shared" si="16"/>
        <v>33362.244855922465</v>
      </c>
      <c r="I52" s="63">
        <f t="shared" si="16"/>
        <v>34435.31562331834</v>
      </c>
    </row>
    <row r="53" spans="1:9" ht="12.75">
      <c r="A53" s="89" t="s">
        <v>148</v>
      </c>
      <c r="B53" s="63">
        <f>B50</f>
        <v>-240.7958749999998</v>
      </c>
      <c r="C53" s="63">
        <f aca="true" t="shared" si="17" ref="C53:H53">C50</f>
        <v>20192.95048840312</v>
      </c>
      <c r="D53" s="63">
        <f t="shared" si="17"/>
        <v>20635.622180639533</v>
      </c>
      <c r="E53" s="63">
        <f t="shared" si="17"/>
        <v>19087.373283809655</v>
      </c>
      <c r="F53" s="63">
        <f t="shared" si="17"/>
        <v>19548.359034584224</v>
      </c>
      <c r="G53" s="63">
        <f t="shared" si="17"/>
        <v>20018.735743485937</v>
      </c>
      <c r="H53" s="63">
        <f t="shared" si="17"/>
        <v>87473.07076739587</v>
      </c>
      <c r="I53" s="63">
        <f>I50</f>
        <v>104055.35436760553</v>
      </c>
    </row>
    <row r="54" spans="1:9" ht="12.75">
      <c r="A54" s="89" t="s">
        <v>241</v>
      </c>
      <c r="B54" s="63">
        <f aca="true" t="shared" si="18" ref="B54:G54">B18</f>
        <v>0</v>
      </c>
      <c r="C54" s="63">
        <f t="shared" si="18"/>
        <v>0</v>
      </c>
      <c r="D54" s="63">
        <f t="shared" si="18"/>
        <v>0</v>
      </c>
      <c r="E54" s="63">
        <f t="shared" si="18"/>
        <v>0</v>
      </c>
      <c r="F54" s="63">
        <f t="shared" si="18"/>
        <v>-10800</v>
      </c>
      <c r="G54" s="63">
        <f t="shared" si="18"/>
        <v>-10800</v>
      </c>
      <c r="H54" s="63">
        <f>SUM(H18:L18)</f>
        <v>-54000</v>
      </c>
      <c r="I54" s="63">
        <f>SUM(M18:V18)</f>
        <v>-108000</v>
      </c>
    </row>
    <row r="55" spans="1:9" ht="12.75">
      <c r="A55" s="89" t="s">
        <v>242</v>
      </c>
      <c r="B55" s="63">
        <f aca="true" t="shared" si="19" ref="B55:G55">B20</f>
        <v>0</v>
      </c>
      <c r="C55" s="63">
        <f t="shared" si="19"/>
        <v>-9180</v>
      </c>
      <c r="D55" s="63">
        <f t="shared" si="19"/>
        <v>-9180</v>
      </c>
      <c r="E55" s="63">
        <f t="shared" si="19"/>
        <v>-9180</v>
      </c>
      <c r="F55" s="63">
        <f t="shared" si="19"/>
        <v>-8640</v>
      </c>
      <c r="G55" s="63">
        <f t="shared" si="19"/>
        <v>-8100</v>
      </c>
      <c r="H55" s="63">
        <f>SUM(H20:L20)</f>
        <v>-32400</v>
      </c>
      <c r="I55" s="63">
        <f>SUM(M20:V20)</f>
        <v>-24300</v>
      </c>
    </row>
    <row r="56" spans="1:9" ht="12.75">
      <c r="A56" s="91" t="s">
        <v>145</v>
      </c>
      <c r="B56" s="63">
        <f aca="true" t="shared" si="20" ref="B56:H56">SUM(B52:B55)</f>
        <v>-240.7958749999998</v>
      </c>
      <c r="C56" s="63">
        <f t="shared" si="20"/>
        <v>10772.15461340312</v>
      </c>
      <c r="D56" s="63">
        <f t="shared" si="20"/>
        <v>22227.776794042653</v>
      </c>
      <c r="E56" s="63">
        <f t="shared" si="20"/>
        <v>32135.150077852304</v>
      </c>
      <c r="F56" s="63">
        <f t="shared" si="20"/>
        <v>32243.509112436528</v>
      </c>
      <c r="G56" s="63">
        <f t="shared" si="20"/>
        <v>33362.244855922465</v>
      </c>
      <c r="H56" s="63">
        <f t="shared" si="20"/>
        <v>34435.31562331834</v>
      </c>
      <c r="I56" s="63">
        <f>SUM(I52:I55)</f>
        <v>6190.669990923867</v>
      </c>
    </row>
    <row r="58" ht="12.75">
      <c r="A58" s="97" t="s">
        <v>164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0.28125" style="0" customWidth="1"/>
  </cols>
  <sheetData>
    <row r="1" ht="12.75">
      <c r="A1" s="64" t="s">
        <v>95</v>
      </c>
    </row>
    <row r="3" spans="1:2" ht="12.75">
      <c r="A3" t="s">
        <v>93</v>
      </c>
      <c r="B3" s="23">
        <v>0.025</v>
      </c>
    </row>
    <row r="5" spans="1:2" ht="12.75">
      <c r="A5" t="s">
        <v>94</v>
      </c>
      <c r="B5" s="23">
        <v>0.05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13.140625" style="0" customWidth="1"/>
    <col min="7" max="7" width="11.421875" style="0" customWidth="1"/>
    <col min="8" max="8" width="11.140625" style="0" customWidth="1"/>
    <col min="9" max="9" width="11.57421875" style="0" customWidth="1"/>
    <col min="10" max="10" width="10.421875" style="0" customWidth="1"/>
  </cols>
  <sheetData>
    <row r="1" spans="1:10" ht="25.5">
      <c r="A1" s="78" t="s">
        <v>96</v>
      </c>
      <c r="B1" s="79"/>
      <c r="C1" s="79"/>
      <c r="D1" s="80" t="s">
        <v>6</v>
      </c>
      <c r="E1" s="80" t="s">
        <v>7</v>
      </c>
      <c r="F1" s="80" t="s">
        <v>8</v>
      </c>
      <c r="G1" s="81" t="s">
        <v>97</v>
      </c>
      <c r="H1" s="81" t="s">
        <v>98</v>
      </c>
      <c r="I1" s="81" t="s">
        <v>99</v>
      </c>
      <c r="J1" s="81" t="s">
        <v>100</v>
      </c>
    </row>
    <row r="2" spans="1:10" ht="12.75">
      <c r="A2" s="82" t="s">
        <v>101</v>
      </c>
      <c r="B2" s="79"/>
      <c r="C2" s="79"/>
      <c r="D2" s="83" t="e">
        <f>1000*'Summary-share offer'!#REF!</f>
        <v>#REF!</v>
      </c>
      <c r="E2" s="83" t="e">
        <f>1000*'Summary-share offer'!#REF!</f>
        <v>#REF!</v>
      </c>
      <c r="F2" s="83" t="e">
        <f>1000*'Summary-share offer'!#REF!</f>
        <v>#REF!</v>
      </c>
      <c r="G2" s="83" t="e">
        <f>(1000/'Summary-share offer'!#REF!)*(SUM('Summary-share offer'!#REF!))</f>
        <v>#REF!</v>
      </c>
      <c r="H2" s="83" t="e">
        <f>(1000/'Summary-share offer'!#REF!)*(SUM('Summary-share offer'!#REF!))</f>
        <v>#REF!</v>
      </c>
      <c r="I2" s="83" t="e">
        <f>(1000/'Summary-share offer'!#REF!)*(SUM('Summary-share offer'!#REF!))</f>
        <v>#REF!</v>
      </c>
      <c r="J2" s="83" t="e">
        <f>SUM(D2:I2)</f>
        <v>#REF!</v>
      </c>
    </row>
    <row r="3" spans="1:10" ht="12.75">
      <c r="A3" s="82" t="s">
        <v>102</v>
      </c>
      <c r="B3" s="79"/>
      <c r="C3" s="79"/>
      <c r="D3" s="79">
        <v>0</v>
      </c>
      <c r="E3" s="79">
        <v>0</v>
      </c>
      <c r="F3" s="79">
        <v>0</v>
      </c>
      <c r="G3" s="84" t="e">
        <f>(1000/'Summary-share offer'!#REF!)*(SUM('Summary-share offer'!#REF!))</f>
        <v>#REF!</v>
      </c>
      <c r="H3" s="84" t="e">
        <f>(1000/'Summary-share offer'!#REF!)*(SUM('Summary-share offer'!#REF!))</f>
        <v>#REF!</v>
      </c>
      <c r="I3" s="84" t="e">
        <f>(1000/'Summary-share offer'!#REF!)*(SUM('Summary-share offer'!#REF!))</f>
        <v>#REF!</v>
      </c>
      <c r="J3" s="84" t="e">
        <f>SUM(D3:I3)</f>
        <v>#REF!</v>
      </c>
    </row>
    <row r="4" spans="1:10" ht="12.75">
      <c r="A4" s="79" t="s">
        <v>103</v>
      </c>
      <c r="B4" s="79"/>
      <c r="C4" s="79"/>
      <c r="D4" s="83">
        <v>500</v>
      </c>
      <c r="E4" s="79"/>
      <c r="F4" s="79"/>
      <c r="G4" s="79"/>
      <c r="H4" s="79"/>
      <c r="I4" s="79"/>
      <c r="J4" s="84">
        <f>SUM(D4:I4)</f>
        <v>500</v>
      </c>
    </row>
    <row r="5" spans="1:10" ht="12.75">
      <c r="A5" s="78" t="s">
        <v>104</v>
      </c>
      <c r="B5" s="78"/>
      <c r="C5" s="78"/>
      <c r="D5" s="85" t="e">
        <f aca="true" t="shared" si="0" ref="D5:I5">SUM(D2:D4)</f>
        <v>#REF!</v>
      </c>
      <c r="E5" s="85" t="e">
        <f t="shared" si="0"/>
        <v>#REF!</v>
      </c>
      <c r="F5" s="85" t="e">
        <f t="shared" si="0"/>
        <v>#REF!</v>
      </c>
      <c r="G5" s="85" t="e">
        <f t="shared" si="0"/>
        <v>#REF!</v>
      </c>
      <c r="H5" s="85" t="e">
        <f>SUM(H2:H4)</f>
        <v>#REF!</v>
      </c>
      <c r="I5" s="85" t="e">
        <f t="shared" si="0"/>
        <v>#REF!</v>
      </c>
      <c r="J5" s="84" t="e">
        <f>SUM(D5:I5)</f>
        <v>#REF!</v>
      </c>
    </row>
    <row r="6" spans="1:10" ht="12.75">
      <c r="A6" s="78" t="s">
        <v>105</v>
      </c>
      <c r="B6" s="79"/>
      <c r="C6" s="79"/>
      <c r="D6" s="85" t="e">
        <f>D5</f>
        <v>#REF!</v>
      </c>
      <c r="E6" s="85" t="e">
        <f>D5+E5</f>
        <v>#REF!</v>
      </c>
      <c r="F6" s="85" t="e">
        <f>F5+E6</f>
        <v>#REF!</v>
      </c>
      <c r="G6" s="85" t="e">
        <f>G5+F6</f>
        <v>#REF!</v>
      </c>
      <c r="H6" s="85" t="e">
        <f>H5+G6</f>
        <v>#REF!</v>
      </c>
      <c r="I6" s="85" t="e">
        <f>I5+H6</f>
        <v>#REF!</v>
      </c>
      <c r="J6" s="85" t="e">
        <f>I6</f>
        <v>#REF!</v>
      </c>
    </row>
    <row r="10" spans="1:23" ht="12.75">
      <c r="A10" t="s">
        <v>119</v>
      </c>
      <c r="B10">
        <v>-1000</v>
      </c>
      <c r="C10" s="60" t="e">
        <f>('Summary-share offer'!#REF!/181000)*1000</f>
        <v>#REF!</v>
      </c>
      <c r="D10" s="60" t="e">
        <f>('Summary-share offer'!#REF!/181000)*1000</f>
        <v>#REF!</v>
      </c>
      <c r="E10" s="60" t="e">
        <f>('Summary-share offer'!#REF!/181000)*1000</f>
        <v>#REF!</v>
      </c>
      <c r="F10" s="60" t="e">
        <f>('Summary-share offer'!#REF!/181000)*1000</f>
        <v>#REF!</v>
      </c>
      <c r="G10" s="60" t="e">
        <f>('Summary-share offer'!#REF!/181000)*1000</f>
        <v>#REF!</v>
      </c>
      <c r="H10" s="60" t="e">
        <f>('Summary-share offer'!#REF!/181000)*1000</f>
        <v>#REF!</v>
      </c>
      <c r="I10" s="60" t="e">
        <f>('Summary-share offer'!#REF!/181000)*1000</f>
        <v>#REF!</v>
      </c>
      <c r="J10" s="60" t="e">
        <f>('Summary-share offer'!#REF!/181000)*1000</f>
        <v>#REF!</v>
      </c>
      <c r="K10" s="60" t="e">
        <f>('Summary-share offer'!#REF!/181000)*1000</f>
        <v>#REF!</v>
      </c>
      <c r="L10" s="60" t="e">
        <f>('Summary-share offer'!#REF!/181000)*1000</f>
        <v>#REF!</v>
      </c>
      <c r="M10" s="60" t="e">
        <f>('Summary-share offer'!#REF!/181000)*1000</f>
        <v>#REF!</v>
      </c>
      <c r="N10" s="60" t="e">
        <f>('Summary-share offer'!#REF!/181000)*1000</f>
        <v>#REF!</v>
      </c>
      <c r="O10" s="60" t="e">
        <f>('Summary-share offer'!#REF!/181000)*1000</f>
        <v>#REF!</v>
      </c>
      <c r="P10" s="60" t="e">
        <f>('Summary-share offer'!#REF!/181000)*1000</f>
        <v>#REF!</v>
      </c>
      <c r="Q10" s="60" t="e">
        <f>('Summary-share offer'!#REF!/181000)*1000</f>
        <v>#REF!</v>
      </c>
      <c r="R10" s="60" t="e">
        <f>('Summary-share offer'!#REF!/181000)*1000</f>
        <v>#REF!</v>
      </c>
      <c r="S10" s="60" t="e">
        <f>('Summary-share offer'!#REF!/181000)*1000</f>
        <v>#REF!</v>
      </c>
      <c r="T10" s="60" t="e">
        <f>('Summary-share offer'!#REF!/181000)*1000</f>
        <v>#REF!</v>
      </c>
      <c r="U10" s="60" t="e">
        <f>('Summary-share offer'!#REF!/181000)*1000</f>
        <v>#REF!</v>
      </c>
      <c r="V10" s="60" t="e">
        <f>('Summary-share offer'!#REF!/181000)*1000</f>
        <v>#REF!</v>
      </c>
      <c r="W10" s="6" t="e">
        <f>IRR(B10:V10)</f>
        <v>#VALUE!</v>
      </c>
    </row>
    <row r="11" spans="1:23" ht="12.75">
      <c r="A11" t="s">
        <v>125</v>
      </c>
      <c r="B11">
        <v>-1000</v>
      </c>
      <c r="C11" s="60" t="e">
        <f>500+('Summary-share offer'!#REF!/181000)*1000</f>
        <v>#REF!</v>
      </c>
      <c r="D11" s="60" t="e">
        <f>('Summary-share offer'!#REF!/181000)*1000</f>
        <v>#REF!</v>
      </c>
      <c r="E11" s="60" t="e">
        <f>('Summary-share offer'!#REF!/181000)*1000</f>
        <v>#REF!</v>
      </c>
      <c r="F11" s="60" t="e">
        <f>('Summary-share offer'!#REF!/181000)*1000</f>
        <v>#REF!</v>
      </c>
      <c r="G11" s="60" t="e">
        <f>('Summary-share offer'!#REF!/181000)*1000</f>
        <v>#REF!</v>
      </c>
      <c r="H11" s="60" t="e">
        <f>('Summary-share offer'!#REF!/181000)*1000</f>
        <v>#REF!</v>
      </c>
      <c r="I11" s="60" t="e">
        <f>('Summary-share offer'!#REF!/181000)*1000</f>
        <v>#REF!</v>
      </c>
      <c r="J11" s="60" t="e">
        <f>('Summary-share offer'!#REF!/181000)*1000</f>
        <v>#REF!</v>
      </c>
      <c r="K11" s="60" t="e">
        <f>('Summary-share offer'!#REF!/181000)*1000</f>
        <v>#REF!</v>
      </c>
      <c r="L11" s="60" t="e">
        <f>('Summary-share offer'!#REF!/181000)*1000</f>
        <v>#REF!</v>
      </c>
      <c r="M11" s="60" t="e">
        <f>('Summary-share offer'!#REF!/181000)*1000</f>
        <v>#REF!</v>
      </c>
      <c r="N11" s="60" t="e">
        <f>('Summary-share offer'!#REF!/181000)*1000</f>
        <v>#REF!</v>
      </c>
      <c r="O11" s="60" t="e">
        <f>('Summary-share offer'!#REF!/181000)*1000</f>
        <v>#REF!</v>
      </c>
      <c r="P11" s="60" t="e">
        <f>('Summary-share offer'!#REF!/181000)*1000</f>
        <v>#REF!</v>
      </c>
      <c r="Q11" s="60" t="e">
        <f>('Summary-share offer'!#REF!/181000)*1000</f>
        <v>#REF!</v>
      </c>
      <c r="R11" s="60" t="e">
        <f>('Summary-share offer'!#REF!/181000)*1000</f>
        <v>#REF!</v>
      </c>
      <c r="S11" s="60" t="e">
        <f>('Summary-share offer'!#REF!/181000)*1000</f>
        <v>#REF!</v>
      </c>
      <c r="T11" s="60" t="e">
        <f>('Summary-share offer'!#REF!/181000)*1000</f>
        <v>#REF!</v>
      </c>
      <c r="U11" s="60" t="e">
        <f>('Summary-share offer'!#REF!/181000)*1000</f>
        <v>#REF!</v>
      </c>
      <c r="V11" s="60" t="e">
        <f>('Summary-share offer'!#REF!/181000)*1000</f>
        <v>#REF!</v>
      </c>
      <c r="W11" s="6" t="e">
        <f>IRR(B11:V11)</f>
        <v>#VALUE!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5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11.8515625" style="0" bestFit="1" customWidth="1"/>
  </cols>
  <sheetData>
    <row r="2" spans="1:23" ht="12.75">
      <c r="A2" s="3" t="s">
        <v>119</v>
      </c>
      <c r="B2" s="60" t="e">
        <f>-'Summary-share offer'!#REF!</f>
        <v>#REF!</v>
      </c>
      <c r="C2" s="59" t="e">
        <f>'Summary-share offer'!#REF!</f>
        <v>#REF!</v>
      </c>
      <c r="D2" s="59" t="e">
        <f>'Summary-share offer'!#REF!</f>
        <v>#REF!</v>
      </c>
      <c r="E2" s="59" t="e">
        <f>'Summary-share offer'!#REF!</f>
        <v>#REF!</v>
      </c>
      <c r="F2" s="59" t="e">
        <f>'Summary-share offer'!#REF!</f>
        <v>#REF!</v>
      </c>
      <c r="G2" s="59" t="e">
        <f>'Summary-share offer'!#REF!</f>
        <v>#REF!</v>
      </c>
      <c r="H2" s="59" t="e">
        <f>'Summary-share offer'!#REF!</f>
        <v>#REF!</v>
      </c>
      <c r="I2" s="59" t="e">
        <f>'Summary-share offer'!#REF!</f>
        <v>#REF!</v>
      </c>
      <c r="J2" s="59" t="e">
        <f>'Summary-share offer'!#REF!</f>
        <v>#REF!</v>
      </c>
      <c r="K2" s="59" t="e">
        <f>'Summary-share offer'!#REF!</f>
        <v>#REF!</v>
      </c>
      <c r="L2" s="59" t="e">
        <f>'Summary-share offer'!#REF!</f>
        <v>#REF!</v>
      </c>
      <c r="M2" s="59" t="e">
        <f>'Summary-share offer'!#REF!</f>
        <v>#REF!</v>
      </c>
      <c r="N2" s="59" t="e">
        <f>'Summary-share offer'!#REF!</f>
        <v>#REF!</v>
      </c>
      <c r="O2" s="59" t="e">
        <f>'Summary-share offer'!#REF!</f>
        <v>#REF!</v>
      </c>
      <c r="P2" s="59" t="e">
        <f>'Summary-share offer'!#REF!</f>
        <v>#REF!</v>
      </c>
      <c r="Q2" s="59" t="e">
        <f>'Summary-share offer'!#REF!</f>
        <v>#REF!</v>
      </c>
      <c r="R2" s="59" t="e">
        <f>'Summary-share offer'!#REF!</f>
        <v>#REF!</v>
      </c>
      <c r="S2" s="59" t="e">
        <f>'Summary-share offer'!#REF!</f>
        <v>#REF!</v>
      </c>
      <c r="T2" s="59" t="e">
        <f>'Summary-share offer'!#REF!</f>
        <v>#REF!</v>
      </c>
      <c r="U2" s="59" t="e">
        <f>'Summary-share offer'!#REF!</f>
        <v>#REF!</v>
      </c>
      <c r="V2" s="59" t="e">
        <f>'Summary-share offer'!#REF!</f>
        <v>#REF!</v>
      </c>
      <c r="W2" s="6" t="e">
        <f>IRR(B2:V2)</f>
        <v>#VALUE!</v>
      </c>
    </row>
    <row r="3" spans="1:23" ht="12.75">
      <c r="A3" s="3" t="s">
        <v>120</v>
      </c>
      <c r="B3" s="60" t="e">
        <f>-'Summary-share offer'!#REF!</f>
        <v>#REF!</v>
      </c>
      <c r="C3" s="59" t="e">
        <f>'Summary-share offer'!#REF!+(0.5*'Summary-share offer'!#REF!)</f>
        <v>#REF!</v>
      </c>
      <c r="D3" s="59" t="e">
        <f>'Summary-share offer'!#REF!</f>
        <v>#REF!</v>
      </c>
      <c r="E3" s="59" t="e">
        <f>'Summary-share offer'!#REF!</f>
        <v>#REF!</v>
      </c>
      <c r="F3" s="59" t="e">
        <f>'Summary-share offer'!#REF!</f>
        <v>#REF!</v>
      </c>
      <c r="G3" s="59" t="e">
        <f>'Summary-share offer'!#REF!</f>
        <v>#REF!</v>
      </c>
      <c r="H3" s="59" t="e">
        <f>'Summary-share offer'!#REF!</f>
        <v>#REF!</v>
      </c>
      <c r="I3" s="59" t="e">
        <f>'Summary-share offer'!#REF!</f>
        <v>#REF!</v>
      </c>
      <c r="J3" s="59" t="e">
        <f>'Summary-share offer'!#REF!</f>
        <v>#REF!</v>
      </c>
      <c r="K3" s="59" t="e">
        <f>'Summary-share offer'!#REF!</f>
        <v>#REF!</v>
      </c>
      <c r="L3" s="59" t="e">
        <f>'Summary-share offer'!#REF!</f>
        <v>#REF!</v>
      </c>
      <c r="M3" s="59" t="e">
        <f>'Summary-share offer'!#REF!</f>
        <v>#REF!</v>
      </c>
      <c r="N3" s="59" t="e">
        <f>'Summary-share offer'!#REF!</f>
        <v>#REF!</v>
      </c>
      <c r="O3" s="59" t="e">
        <f>'Summary-share offer'!#REF!</f>
        <v>#REF!</v>
      </c>
      <c r="P3" s="59" t="e">
        <f>'Summary-share offer'!#REF!</f>
        <v>#REF!</v>
      </c>
      <c r="Q3" s="59" t="e">
        <f>'Summary-share offer'!#REF!</f>
        <v>#REF!</v>
      </c>
      <c r="R3" s="59" t="e">
        <f>'Summary-share offer'!#REF!</f>
        <v>#REF!</v>
      </c>
      <c r="S3" s="59" t="e">
        <f>'Summary-share offer'!#REF!</f>
        <v>#REF!</v>
      </c>
      <c r="T3" s="59" t="e">
        <f>'Summary-share offer'!#REF!</f>
        <v>#REF!</v>
      </c>
      <c r="U3" s="59" t="e">
        <f>'Summary-share offer'!#REF!</f>
        <v>#REF!</v>
      </c>
      <c r="V3" s="59" t="e">
        <f>'Summary-share offer'!#REF!</f>
        <v>#REF!</v>
      </c>
      <c r="W3" s="6" t="e">
        <f>IRR(B3:V3)</f>
        <v>#VALUE!</v>
      </c>
    </row>
    <row r="5" ht="12.75">
      <c r="A5" s="3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1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44.421875" style="0" bestFit="1" customWidth="1"/>
    <col min="2" max="2" width="3.421875" style="0" customWidth="1"/>
    <col min="3" max="3" width="9.00390625" style="105" bestFit="1" customWidth="1"/>
    <col min="4" max="23" width="8.140625" style="105" bestFit="1" customWidth="1"/>
    <col min="24" max="24" width="8.140625" style="105" customWidth="1"/>
    <col min="25" max="25" width="8.140625" style="0" bestFit="1" customWidth="1"/>
  </cols>
  <sheetData>
    <row r="1" ht="18">
      <c r="A1" s="103" t="s">
        <v>169</v>
      </c>
    </row>
    <row r="2" ht="15.75">
      <c r="A2" s="29" t="s">
        <v>170</v>
      </c>
    </row>
    <row r="3" spans="3:25" ht="12.75">
      <c r="C3" s="106" t="s">
        <v>159</v>
      </c>
      <c r="D3" s="106" t="s">
        <v>6</v>
      </c>
      <c r="E3" s="106" t="s">
        <v>7</v>
      </c>
      <c r="F3" s="106" t="s">
        <v>8</v>
      </c>
      <c r="G3" s="106" t="s">
        <v>9</v>
      </c>
      <c r="H3" s="106" t="s">
        <v>10</v>
      </c>
      <c r="I3" s="106" t="s">
        <v>11</v>
      </c>
      <c r="J3" s="106" t="s">
        <v>12</v>
      </c>
      <c r="K3" s="106" t="s">
        <v>13</v>
      </c>
      <c r="L3" s="106" t="s">
        <v>14</v>
      </c>
      <c r="M3" s="106" t="s">
        <v>15</v>
      </c>
      <c r="N3" s="106" t="s">
        <v>16</v>
      </c>
      <c r="O3" s="106" t="s">
        <v>17</v>
      </c>
      <c r="P3" s="106" t="s">
        <v>18</v>
      </c>
      <c r="Q3" s="106" t="s">
        <v>19</v>
      </c>
      <c r="R3" s="106" t="s">
        <v>20</v>
      </c>
      <c r="S3" s="106" t="s">
        <v>21</v>
      </c>
      <c r="T3" s="106" t="s">
        <v>22</v>
      </c>
      <c r="U3" s="106" t="s">
        <v>23</v>
      </c>
      <c r="V3" s="106" t="s">
        <v>24</v>
      </c>
      <c r="W3" s="106" t="s">
        <v>25</v>
      </c>
      <c r="X3" s="106" t="s">
        <v>245</v>
      </c>
      <c r="Y3" s="110" t="s">
        <v>104</v>
      </c>
    </row>
    <row r="4" spans="3:25" s="102" customFormat="1" ht="12.75">
      <c r="C4" s="111">
        <v>2015</v>
      </c>
      <c r="D4" s="111">
        <f aca="true" t="shared" si="0" ref="D4:W4">+C4+1</f>
        <v>2016</v>
      </c>
      <c r="E4" s="111">
        <f t="shared" si="0"/>
        <v>2017</v>
      </c>
      <c r="F4" s="111">
        <f t="shared" si="0"/>
        <v>2018</v>
      </c>
      <c r="G4" s="111">
        <f t="shared" si="0"/>
        <v>2019</v>
      </c>
      <c r="H4" s="111">
        <f t="shared" si="0"/>
        <v>2020</v>
      </c>
      <c r="I4" s="111">
        <f t="shared" si="0"/>
        <v>2021</v>
      </c>
      <c r="J4" s="111">
        <f t="shared" si="0"/>
        <v>2022</v>
      </c>
      <c r="K4" s="111">
        <f t="shared" si="0"/>
        <v>2023</v>
      </c>
      <c r="L4" s="111">
        <f t="shared" si="0"/>
        <v>2024</v>
      </c>
      <c r="M4" s="111">
        <f t="shared" si="0"/>
        <v>2025</v>
      </c>
      <c r="N4" s="111">
        <f t="shared" si="0"/>
        <v>2026</v>
      </c>
      <c r="O4" s="111">
        <f t="shared" si="0"/>
        <v>2027</v>
      </c>
      <c r="P4" s="111">
        <f t="shared" si="0"/>
        <v>2028</v>
      </c>
      <c r="Q4" s="111">
        <f t="shared" si="0"/>
        <v>2029</v>
      </c>
      <c r="R4" s="111">
        <f t="shared" si="0"/>
        <v>2030</v>
      </c>
      <c r="S4" s="111">
        <f t="shared" si="0"/>
        <v>2031</v>
      </c>
      <c r="T4" s="111">
        <f t="shared" si="0"/>
        <v>2032</v>
      </c>
      <c r="U4" s="111">
        <f t="shared" si="0"/>
        <v>2033</v>
      </c>
      <c r="V4" s="111">
        <f t="shared" si="0"/>
        <v>2034</v>
      </c>
      <c r="W4" s="111">
        <f t="shared" si="0"/>
        <v>2035</v>
      </c>
      <c r="X4" s="111">
        <v>2036</v>
      </c>
      <c r="Y4"/>
    </row>
    <row r="6" ht="15.75">
      <c r="A6" s="29" t="s">
        <v>171</v>
      </c>
    </row>
    <row r="8" ht="12.75">
      <c r="A8" s="35" t="s">
        <v>132</v>
      </c>
    </row>
    <row r="9" ht="7.5" customHeight="1"/>
    <row r="10" ht="12.75">
      <c r="A10" s="104" t="s">
        <v>172</v>
      </c>
    </row>
    <row r="11" ht="7.5" customHeight="1"/>
    <row r="12" spans="1:25" ht="12.75">
      <c r="A12" t="s">
        <v>133</v>
      </c>
      <c r="C12" s="105">
        <v>0</v>
      </c>
      <c r="D12" s="105">
        <f>+'Robert Smyth'!C69</f>
        <v>13188.720000000003</v>
      </c>
      <c r="E12" s="105">
        <f>+'Robert Smyth'!D69</f>
        <v>13423.808934</v>
      </c>
      <c r="F12" s="105">
        <f>+'Robert Smyth'!E69</f>
        <v>13662.409364700003</v>
      </c>
      <c r="G12" s="105">
        <f>+'Robert Smyth'!F69</f>
        <v>13904.549936351252</v>
      </c>
      <c r="H12" s="105">
        <f>+'Robert Smyth'!G69</f>
        <v>14150.258530732124</v>
      </c>
      <c r="I12" s="105">
        <f>+'Robert Smyth'!H69</f>
        <v>14399.562211121824</v>
      </c>
      <c r="J12" s="105">
        <f>+'Robert Smyth'!I69</f>
        <v>14652.487163949298</v>
      </c>
      <c r="K12" s="105">
        <f>+'Robert Smyth'!J69</f>
        <v>14909.058638036195</v>
      </c>
      <c r="L12" s="105">
        <f>+'Robert Smyth'!K69</f>
        <v>15169.300881349971</v>
      </c>
      <c r="M12" s="105">
        <f>+'Robert Smyth'!L69</f>
        <v>15433.23707518066</v>
      </c>
      <c r="N12" s="105">
        <f>+'Robert Smyth'!M69</f>
        <v>15700.889265652038</v>
      </c>
      <c r="O12" s="105">
        <f>+'Robert Smyth'!N69</f>
        <v>15972.278292475003</v>
      </c>
      <c r="P12" s="105">
        <f>+'Robert Smyth'!O69</f>
        <v>16247.42371484808</v>
      </c>
      <c r="Q12" s="105">
        <f>+'Robert Smyth'!P69</f>
        <v>16526.343734407015</v>
      </c>
      <c r="R12" s="105">
        <f>+'Robert Smyth'!Q69</f>
        <v>16809.05511512212</v>
      </c>
      <c r="S12" s="105">
        <f>+'Robert Smyth'!R69</f>
        <v>17095.57310003897</v>
      </c>
      <c r="T12" s="105">
        <f>+'Robert Smyth'!S69</f>
        <v>17385.911324754714</v>
      </c>
      <c r="U12" s="105">
        <f>+'Robert Smyth'!T69</f>
        <v>17680.081727518722</v>
      </c>
      <c r="V12" s="105">
        <f>+'Robert Smyth'!U69</f>
        <v>17978.094455842955</v>
      </c>
      <c r="W12" s="105">
        <f>+'Robert Smyth'!V69</f>
        <v>18279.957769503704</v>
      </c>
      <c r="X12" s="105">
        <f>+'Robert Smyth'!W69</f>
        <v>18585.677939812587</v>
      </c>
      <c r="Y12" s="105">
        <f>SUM(C12:W12)</f>
        <v>312569.00123558467</v>
      </c>
    </row>
    <row r="13" spans="1:25" ht="12.75">
      <c r="A13" s="3" t="s">
        <v>186</v>
      </c>
      <c r="C13" s="105">
        <v>0</v>
      </c>
      <c r="D13" s="105">
        <f>+'Robert Smyth'!C73</f>
        <v>1389.0399999999997</v>
      </c>
      <c r="E13" s="105">
        <f>+'Robert Smyth'!D73</f>
        <v>1413.7996379999997</v>
      </c>
      <c r="F13" s="105">
        <f>+'Robert Smyth'!E73</f>
        <v>1438.9291078999995</v>
      </c>
      <c r="G13" s="105">
        <f>+'Robert Smyth'!F73</f>
        <v>1464.4314265212495</v>
      </c>
      <c r="H13" s="105">
        <f>+'Robert Smyth'!G73</f>
        <v>1490.3095303811244</v>
      </c>
      <c r="I13" s="105">
        <f>+'Robert Smyth'!H73</f>
        <v>1516.5662697924172</v>
      </c>
      <c r="J13" s="105">
        <f>+'Robert Smyth'!I73</f>
        <v>1543.2044027177865</v>
      </c>
      <c r="K13" s="105">
        <f>+'Robert Smyth'!J73</f>
        <v>1570.226588370804</v>
      </c>
      <c r="L13" s="105">
        <f>+'Robert Smyth'!K73</f>
        <v>1597.6353805547735</v>
      </c>
      <c r="M13" s="105">
        <f>+'Robert Smyth'!L73</f>
        <v>1625.4332207302098</v>
      </c>
      <c r="N13" s="105">
        <f>+'Robert Smyth'!M73</f>
        <v>1653.6224308015715</v>
      </c>
      <c r="O13" s="105">
        <f>+'Robert Smyth'!N73</f>
        <v>1682.2052056135446</v>
      </c>
      <c r="P13" s="105">
        <f>+'Robert Smyth'!O73</f>
        <v>1711.1836051468656</v>
      </c>
      <c r="Q13" s="105">
        <f>+'Robert Smyth'!P73</f>
        <v>1740.5595464033443</v>
      </c>
      <c r="R13" s="105">
        <f>+'Robert Smyth'!Q73</f>
        <v>1770.3347949694296</v>
      </c>
      <c r="S13" s="105">
        <f>+'Robert Smyth'!R73</f>
        <v>1800.5109562473176</v>
      </c>
      <c r="T13" s="105">
        <f>+'Robert Smyth'!S73</f>
        <v>1831.0894663422441</v>
      </c>
      <c r="U13" s="105">
        <f>+'Robert Smyth'!T73</f>
        <v>1862.0715825942618</v>
      </c>
      <c r="V13" s="105">
        <f>+'Robert Smyth'!U73</f>
        <v>1893.458373742417</v>
      </c>
      <c r="W13" s="105">
        <f>+'Robert Smyth'!V73</f>
        <v>1925.2507097088585</v>
      </c>
      <c r="X13" s="105">
        <f>+'Robert Smyth'!W73</f>
        <v>1957.4492509900326</v>
      </c>
      <c r="Y13" s="105">
        <f>SUM(C13:W13)</f>
        <v>32919.86223653822</v>
      </c>
    </row>
    <row r="14" spans="1:25" ht="12.75">
      <c r="A14" s="3" t="s">
        <v>187</v>
      </c>
      <c r="C14" s="105">
        <v>0</v>
      </c>
      <c r="D14" s="105">
        <f>+'Robert Smyth'!C71</f>
        <v>11456</v>
      </c>
      <c r="E14" s="105">
        <f>+'Robert Smyth'!D71</f>
        <v>11773.961279999998</v>
      </c>
      <c r="F14" s="105">
        <f>+'Robert Smyth'!E71</f>
        <v>12100.146249599999</v>
      </c>
      <c r="G14" s="105">
        <f>+'Robert Smyth'!F71</f>
        <v>12434.741064503996</v>
      </c>
      <c r="H14" s="105">
        <f>+'Robert Smyth'!G71</f>
        <v>12777.934837295516</v>
      </c>
      <c r="I14" s="105">
        <f>+'Robert Smyth'!H71</f>
        <v>13129.919616378422</v>
      </c>
      <c r="J14" s="105">
        <f>+'Robert Smyth'!I71</f>
        <v>13490.890359821447</v>
      </c>
      <c r="K14" s="105">
        <f>+'Robert Smyth'!J71</f>
        <v>13861.044903775419</v>
      </c>
      <c r="L14" s="105">
        <f>+'Robert Smyth'!K71</f>
        <v>14240.58392511539</v>
      </c>
      <c r="M14" s="105">
        <f>+'Robert Smyth'!L71</f>
        <v>14629.71089794203</v>
      </c>
      <c r="N14" s="105">
        <f>+'Robert Smyth'!M71</f>
        <v>15028.632043558273</v>
      </c>
      <c r="O14" s="105">
        <f>+'Robert Smyth'!N71</f>
        <v>15437.55627351767</v>
      </c>
      <c r="P14" s="105">
        <f>+'Robert Smyth'!O71</f>
        <v>15856.69512532087</v>
      </c>
      <c r="Q14" s="105">
        <f>+'Robert Smyth'!P71</f>
        <v>16286.26269031523</v>
      </c>
      <c r="R14" s="105">
        <f>+'Robert Smyth'!Q71</f>
        <v>16726.475533330682</v>
      </c>
      <c r="S14" s="105">
        <f>+'Robert Smyth'!R71</f>
        <v>17177.552603561573</v>
      </c>
      <c r="T14" s="105">
        <f>+'Robert Smyth'!S71</f>
        <v>17639.7151361803</v>
      </c>
      <c r="U14" s="105">
        <f>+'Robert Smyth'!T71</f>
        <v>18113.18654414298</v>
      </c>
      <c r="V14" s="105">
        <f>+'Robert Smyth'!U71</f>
        <v>18598.19229962122</v>
      </c>
      <c r="W14" s="105">
        <f>+'Robert Smyth'!V71</f>
        <v>19094.959804466365</v>
      </c>
      <c r="X14" s="105">
        <f>+'Robert Smyth'!W71</f>
        <v>19603.71824908363</v>
      </c>
      <c r="Y14" s="105">
        <f>SUM(C14:W14)</f>
        <v>299854.1611884473</v>
      </c>
    </row>
    <row r="15" ht="7.5" customHeight="1"/>
    <row r="16" spans="1:25" s="1" customFormat="1" ht="12.75">
      <c r="A16" s="1" t="s">
        <v>173</v>
      </c>
      <c r="C16" s="107">
        <f>SUM(C12:C15)</f>
        <v>0</v>
      </c>
      <c r="D16" s="107">
        <f aca="true" t="shared" si="1" ref="D16:Y16">SUM(D12:D15)</f>
        <v>26033.760000000002</v>
      </c>
      <c r="E16" s="107">
        <f t="shared" si="1"/>
        <v>26611.569852</v>
      </c>
      <c r="F16" s="107">
        <f t="shared" si="1"/>
        <v>27201.484722200003</v>
      </c>
      <c r="G16" s="107">
        <f t="shared" si="1"/>
        <v>27803.722427376495</v>
      </c>
      <c r="H16" s="107">
        <f t="shared" si="1"/>
        <v>28418.502898408762</v>
      </c>
      <c r="I16" s="107">
        <f t="shared" si="1"/>
        <v>29046.048097292663</v>
      </c>
      <c r="J16" s="107">
        <f t="shared" si="1"/>
        <v>29686.581926488532</v>
      </c>
      <c r="K16" s="107">
        <f t="shared" si="1"/>
        <v>30340.330130182418</v>
      </c>
      <c r="L16" s="107">
        <f t="shared" si="1"/>
        <v>31007.520187020134</v>
      </c>
      <c r="M16" s="107">
        <f t="shared" si="1"/>
        <v>31688.3811938529</v>
      </c>
      <c r="N16" s="107">
        <f t="shared" si="1"/>
        <v>32383.14374001188</v>
      </c>
      <c r="O16" s="107">
        <f t="shared" si="1"/>
        <v>33092.039771606214</v>
      </c>
      <c r="P16" s="107">
        <f t="shared" si="1"/>
        <v>33815.302445315814</v>
      </c>
      <c r="Q16" s="107">
        <f t="shared" si="1"/>
        <v>34553.16597112559</v>
      </c>
      <c r="R16" s="107">
        <f t="shared" si="1"/>
        <v>35305.865443422226</v>
      </c>
      <c r="S16" s="107">
        <f t="shared" si="1"/>
        <v>36073.63665984786</v>
      </c>
      <c r="T16" s="107">
        <f t="shared" si="1"/>
        <v>36856.715927277255</v>
      </c>
      <c r="U16" s="107">
        <f t="shared" si="1"/>
        <v>37655.33985425596</v>
      </c>
      <c r="V16" s="107">
        <f t="shared" si="1"/>
        <v>38469.745129206596</v>
      </c>
      <c r="W16" s="107">
        <f t="shared" si="1"/>
        <v>39300.168283678926</v>
      </c>
      <c r="X16" s="107">
        <f>SUM(X12:X15)</f>
        <v>40146.84543988625</v>
      </c>
      <c r="Y16" s="107">
        <f t="shared" si="1"/>
        <v>645343.0246605702</v>
      </c>
    </row>
    <row r="17" ht="7.5" customHeight="1"/>
    <row r="18" ht="12.75">
      <c r="A18" s="104" t="s">
        <v>174</v>
      </c>
    </row>
    <row r="19" ht="7.5" customHeight="1"/>
    <row r="20" spans="1:25" ht="12.75">
      <c r="A20" t="s">
        <v>133</v>
      </c>
      <c r="C20" s="105">
        <v>0</v>
      </c>
      <c r="D20" s="105">
        <f>+'Archway House'!C69</f>
        <v>1092.5430000000001</v>
      </c>
      <c r="E20" s="105">
        <f>+'Archway House'!D69</f>
        <v>1112.0175789749999</v>
      </c>
      <c r="F20" s="105">
        <f>+'Archway House'!E69</f>
        <v>1131.7830475237502</v>
      </c>
      <c r="G20" s="105">
        <f>+'Archway House'!F69</f>
        <v>1151.8417785130782</v>
      </c>
      <c r="H20" s="105">
        <f>+'Archway House'!G69</f>
        <v>1172.19608164717</v>
      </c>
      <c r="I20" s="105">
        <f>+'Archway House'!H69</f>
        <v>1192.8481988263961</v>
      </c>
      <c r="J20" s="105">
        <f>+'Archway House'!I69</f>
        <v>1213.800299313554</v>
      </c>
      <c r="K20" s="105">
        <f>+'Archway House'!J69</f>
        <v>1235.0544747008032</v>
      </c>
      <c r="L20" s="105">
        <f>+'Archway House'!K69</f>
        <v>1256.612733670344</v>
      </c>
      <c r="M20" s="105">
        <f>+'Archway House'!L69</f>
        <v>1278.4769965416735</v>
      </c>
      <c r="N20" s="105">
        <f>+'Archway House'!M69</f>
        <v>1300.6490895980257</v>
      </c>
      <c r="O20" s="105">
        <f>+'Archway House'!N69</f>
        <v>1323.130739184357</v>
      </c>
      <c r="P20" s="105">
        <f>+'Archway House'!O69</f>
        <v>1345.9235655690063</v>
      </c>
      <c r="Q20" s="105">
        <f>+'Archway House'!P69</f>
        <v>1369.0290765608977</v>
      </c>
      <c r="R20" s="105">
        <f>+'Archway House'!Q69</f>
        <v>1392.448660873903</v>
      </c>
      <c r="S20" s="105">
        <f>+'Archway House'!R69</f>
        <v>1416.1835812297081</v>
      </c>
      <c r="T20" s="105">
        <f>+'Archway House'!S69</f>
        <v>1440.234967190257</v>
      </c>
      <c r="U20" s="105">
        <f>+'Archway House'!T69</f>
        <v>1464.6038077105652</v>
      </c>
      <c r="V20" s="105">
        <f>+'Archway House'!U69</f>
        <v>1489.2909434023945</v>
      </c>
      <c r="W20" s="105">
        <f>+'Archway House'!V69</f>
        <v>1514.2970584989964</v>
      </c>
      <c r="X20" s="105">
        <f>+'Archway House'!W69</f>
        <v>1539.6226725108017</v>
      </c>
      <c r="Y20" s="105">
        <f>SUM(C20:W20)</f>
        <v>25892.965679529876</v>
      </c>
    </row>
    <row r="21" spans="1:25" ht="12.75">
      <c r="A21" s="3" t="s">
        <v>186</v>
      </c>
      <c r="C21" s="105">
        <v>0</v>
      </c>
      <c r="D21" s="105">
        <f>+'Archway House'!C73</f>
        <v>226.25249999999997</v>
      </c>
      <c r="E21" s="105">
        <f>+'Archway House'!D73</f>
        <v>230.28545081249996</v>
      </c>
      <c r="F21" s="105">
        <f>+'Archway House'!E73</f>
        <v>234.37864135312495</v>
      </c>
      <c r="G21" s="105">
        <f>+'Archway House'!F73</f>
        <v>238.53256301402337</v>
      </c>
      <c r="H21" s="105">
        <f>+'Archway House'!G73</f>
        <v>242.747694107121</v>
      </c>
      <c r="I21" s="105">
        <f>+'Archway House'!H73</f>
        <v>247.02449890298976</v>
      </c>
      <c r="J21" s="105">
        <f>+'Archway House'!I73</f>
        <v>251.36342662983498</v>
      </c>
      <c r="K21" s="105">
        <f>+'Archway House'!J73</f>
        <v>255.7649104312081</v>
      </c>
      <c r="L21" s="105">
        <f>+'Archway House'!K73</f>
        <v>260.22936628100626</v>
      </c>
      <c r="M21" s="105">
        <f>+'Archway House'!L73</f>
        <v>264.75719185427477</v>
      </c>
      <c r="N21" s="105">
        <f>+'Archway House'!M73</f>
        <v>269.3487653522811</v>
      </c>
      <c r="O21" s="105">
        <f>+'Archway House'!N73</f>
        <v>274.00444428027885</v>
      </c>
      <c r="P21" s="105">
        <f>+'Archway House'!O73</f>
        <v>278.72456417633134</v>
      </c>
      <c r="Q21" s="105">
        <f>+'Archway House'!P73</f>
        <v>283.5094372895112</v>
      </c>
      <c r="R21" s="105">
        <f>+'Archway House'!Q73</f>
        <v>288.35935120573987</v>
      </c>
      <c r="S21" s="105">
        <f>+'Archway House'!R73</f>
        <v>293.27456741947407</v>
      </c>
      <c r="T21" s="105">
        <f>+'Archway House'!S73</f>
        <v>298.25531984939136</v>
      </c>
      <c r="U21" s="105">
        <f>+'Archway House'!T73</f>
        <v>303.3018132961673</v>
      </c>
      <c r="V21" s="105">
        <f>+'Archway House'!U73</f>
        <v>308.41422184037623</v>
      </c>
      <c r="W21" s="105">
        <f>+'Archway House'!V73</f>
        <v>313.5926871784855</v>
      </c>
      <c r="X21" s="105">
        <f>+'Archway House'!W73</f>
        <v>318.83731689484995</v>
      </c>
      <c r="Y21" s="105">
        <f>SUM(C21:W21)</f>
        <v>5362.12141527412</v>
      </c>
    </row>
    <row r="22" spans="1:25" ht="12.75">
      <c r="A22" s="3" t="s">
        <v>187</v>
      </c>
      <c r="C22" s="105">
        <v>0</v>
      </c>
      <c r="D22" s="105">
        <f>+'Archway House'!C71</f>
        <v>793.05</v>
      </c>
      <c r="E22" s="105">
        <f>+'Archway House'!D71</f>
        <v>815.0611027499999</v>
      </c>
      <c r="F22" s="105">
        <f>+'Archway House'!E71</f>
        <v>837.6414964424998</v>
      </c>
      <c r="G22" s="105">
        <f>+'Archway House'!F71</f>
        <v>860.8040678426061</v>
      </c>
      <c r="H22" s="105">
        <f>+'Archway House'!G71</f>
        <v>884.5619084075776</v>
      </c>
      <c r="I22" s="105">
        <f>+'Archway House'!H71</f>
        <v>908.9283128289899</v>
      </c>
      <c r="J22" s="105">
        <f>+'Archway House'!I71</f>
        <v>933.9167772221017</v>
      </c>
      <c r="K22" s="105">
        <f>+'Archway House'!J71</f>
        <v>959.540996939516</v>
      </c>
      <c r="L22" s="105">
        <f>+'Archway House'!K71</f>
        <v>985.8148639850523</v>
      </c>
      <c r="M22" s="105">
        <f>+'Archway House'!L71</f>
        <v>1012.752464002525</v>
      </c>
      <c r="N22" s="105">
        <f>+'Archway House'!M71</f>
        <v>1040.3680728128393</v>
      </c>
      <c r="O22" s="105">
        <f>+'Archway House'!N71</f>
        <v>1068.6761524714723</v>
      </c>
      <c r="P22" s="105">
        <f>+'Archway House'!O71</f>
        <v>1097.6913468170142</v>
      </c>
      <c r="Q22" s="105">
        <f>+'Archway House'!P71</f>
        <v>1127.4284764799663</v>
      </c>
      <c r="R22" s="105">
        <f>+'Archway House'!Q71</f>
        <v>1157.902533319474</v>
      </c>
      <c r="S22" s="105">
        <f>+'Archway House'!R71</f>
        <v>1189.1286742540594</v>
      </c>
      <c r="T22" s="105">
        <f>+'Archway House'!S71</f>
        <v>1221.1222144507494</v>
      </c>
      <c r="U22" s="105">
        <f>+'Archway House'!T71</f>
        <v>1253.8986198352468</v>
      </c>
      <c r="V22" s="105">
        <f>+'Archway House'!U71</f>
        <v>1287.4734988839566</v>
      </c>
      <c r="W22" s="105">
        <f>+'Archway House'!V71</f>
        <v>1321.862593656778</v>
      </c>
      <c r="X22" s="105">
        <f>+'Archway House'!W71</f>
        <v>1357.081770027564</v>
      </c>
      <c r="Y22" s="105">
        <f>SUM(C22:W22)</f>
        <v>20757.624173402426</v>
      </c>
    </row>
    <row r="23" ht="7.5" customHeight="1"/>
    <row r="24" spans="1:25" s="1" customFormat="1" ht="12.75">
      <c r="A24" s="1" t="s">
        <v>175</v>
      </c>
      <c r="C24" s="107">
        <f>SUM(C20:C23)</f>
        <v>0</v>
      </c>
      <c r="D24" s="107">
        <f aca="true" t="shared" si="2" ref="D24:Y24">SUM(D20:D23)</f>
        <v>2111.8455000000004</v>
      </c>
      <c r="E24" s="107">
        <f t="shared" si="2"/>
        <v>2157.3641325374997</v>
      </c>
      <c r="F24" s="107">
        <f t="shared" si="2"/>
        <v>2203.803185319375</v>
      </c>
      <c r="G24" s="107">
        <f t="shared" si="2"/>
        <v>2251.1784093697074</v>
      </c>
      <c r="H24" s="107">
        <f t="shared" si="2"/>
        <v>2299.5056841618684</v>
      </c>
      <c r="I24" s="107">
        <f t="shared" si="2"/>
        <v>2348.8010105583758</v>
      </c>
      <c r="J24" s="107">
        <f t="shared" si="2"/>
        <v>2399.080503165491</v>
      </c>
      <c r="K24" s="107">
        <f t="shared" si="2"/>
        <v>2450.3603820715275</v>
      </c>
      <c r="L24" s="107">
        <f t="shared" si="2"/>
        <v>2502.6569639364025</v>
      </c>
      <c r="M24" s="107">
        <f t="shared" si="2"/>
        <v>2555.9866523984733</v>
      </c>
      <c r="N24" s="107">
        <f t="shared" si="2"/>
        <v>2610.365927763146</v>
      </c>
      <c r="O24" s="107">
        <f t="shared" si="2"/>
        <v>2665.811335936108</v>
      </c>
      <c r="P24" s="107">
        <f t="shared" si="2"/>
        <v>2722.3394765623516</v>
      </c>
      <c r="Q24" s="107">
        <f t="shared" si="2"/>
        <v>2779.966990330375</v>
      </c>
      <c r="R24" s="107">
        <f t="shared" si="2"/>
        <v>2838.710545399117</v>
      </c>
      <c r="S24" s="107">
        <f t="shared" si="2"/>
        <v>2898.5868229032417</v>
      </c>
      <c r="T24" s="107">
        <f t="shared" si="2"/>
        <v>2959.612501490398</v>
      </c>
      <c r="U24" s="107">
        <f t="shared" si="2"/>
        <v>3021.804240841979</v>
      </c>
      <c r="V24" s="107">
        <f t="shared" si="2"/>
        <v>3085.178664126727</v>
      </c>
      <c r="W24" s="107">
        <f t="shared" si="2"/>
        <v>3149.75233933426</v>
      </c>
      <c r="X24" s="107">
        <f>SUM(X20:X23)</f>
        <v>3215.5417594332157</v>
      </c>
      <c r="Y24" s="107">
        <f t="shared" si="2"/>
        <v>52012.71126820642</v>
      </c>
    </row>
    <row r="25" ht="7.5" customHeight="1">
      <c r="Y25" s="105"/>
    </row>
    <row r="26" spans="1:25" s="1" customFormat="1" ht="12.75">
      <c r="A26" s="1" t="s">
        <v>137</v>
      </c>
      <c r="C26" s="107">
        <f>+C24+C16</f>
        <v>0</v>
      </c>
      <c r="D26" s="107">
        <f aca="true" t="shared" si="3" ref="D26:W26">+D24+D16</f>
        <v>28145.6055</v>
      </c>
      <c r="E26" s="107">
        <f t="shared" si="3"/>
        <v>28768.9339845375</v>
      </c>
      <c r="F26" s="107">
        <f t="shared" si="3"/>
        <v>29405.287907519378</v>
      </c>
      <c r="G26" s="107">
        <f t="shared" si="3"/>
        <v>30054.9008367462</v>
      </c>
      <c r="H26" s="107">
        <f t="shared" si="3"/>
        <v>30718.00858257063</v>
      </c>
      <c r="I26" s="107">
        <f t="shared" si="3"/>
        <v>31394.849107851038</v>
      </c>
      <c r="J26" s="107">
        <f t="shared" si="3"/>
        <v>32085.662429654025</v>
      </c>
      <c r="K26" s="107">
        <f t="shared" si="3"/>
        <v>32790.69051225395</v>
      </c>
      <c r="L26" s="107">
        <f t="shared" si="3"/>
        <v>33510.17715095654</v>
      </c>
      <c r="M26" s="107">
        <f t="shared" si="3"/>
        <v>34244.36784625137</v>
      </c>
      <c r="N26" s="107">
        <f t="shared" si="3"/>
        <v>34993.509667775026</v>
      </c>
      <c r="O26" s="107">
        <f t="shared" si="3"/>
        <v>35757.85110754232</v>
      </c>
      <c r="P26" s="107">
        <f t="shared" si="3"/>
        <v>36537.64192187817</v>
      </c>
      <c r="Q26" s="107">
        <f t="shared" si="3"/>
        <v>37333.132961455965</v>
      </c>
      <c r="R26" s="107">
        <f t="shared" si="3"/>
        <v>38144.57598882134</v>
      </c>
      <c r="S26" s="107">
        <f t="shared" si="3"/>
        <v>38972.223482751106</v>
      </c>
      <c r="T26" s="107">
        <f t="shared" si="3"/>
        <v>39816.32842876765</v>
      </c>
      <c r="U26" s="107">
        <f t="shared" si="3"/>
        <v>40677.14409509794</v>
      </c>
      <c r="V26" s="107">
        <f t="shared" si="3"/>
        <v>41554.92379333332</v>
      </c>
      <c r="W26" s="107">
        <f t="shared" si="3"/>
        <v>42449.92062301318</v>
      </c>
      <c r="X26" s="107">
        <f>+X24+X16</f>
        <v>43362.38719931947</v>
      </c>
      <c r="Y26" s="107">
        <f>+Y24+Y16</f>
        <v>697355.7359287767</v>
      </c>
    </row>
    <row r="28" ht="12.75">
      <c r="A28" s="35" t="s">
        <v>180</v>
      </c>
    </row>
    <row r="29" ht="7.5" customHeight="1"/>
    <row r="30" ht="12.75">
      <c r="A30" s="104" t="s">
        <v>172</v>
      </c>
    </row>
    <row r="31" ht="7.5" customHeight="1"/>
    <row r="32" spans="1:25" ht="12.75">
      <c r="A32" s="3" t="s">
        <v>176</v>
      </c>
      <c r="C32" s="105">
        <f>ROUND(C16*0.25,0)</f>
        <v>0</v>
      </c>
      <c r="D32" s="105">
        <f aca="true" t="shared" si="4" ref="D32:W32">ROUND(D16*0.25,0)</f>
        <v>6508</v>
      </c>
      <c r="E32" s="105">
        <f t="shared" si="4"/>
        <v>6653</v>
      </c>
      <c r="F32" s="105">
        <f t="shared" si="4"/>
        <v>6800</v>
      </c>
      <c r="G32" s="105">
        <f t="shared" si="4"/>
        <v>6951</v>
      </c>
      <c r="H32" s="105">
        <f t="shared" si="4"/>
        <v>7105</v>
      </c>
      <c r="I32" s="105">
        <f t="shared" si="4"/>
        <v>7262</v>
      </c>
      <c r="J32" s="105">
        <f t="shared" si="4"/>
        <v>7422</v>
      </c>
      <c r="K32" s="105">
        <f t="shared" si="4"/>
        <v>7585</v>
      </c>
      <c r="L32" s="105">
        <f t="shared" si="4"/>
        <v>7752</v>
      </c>
      <c r="M32" s="105">
        <f t="shared" si="4"/>
        <v>7922</v>
      </c>
      <c r="N32" s="105">
        <f t="shared" si="4"/>
        <v>8096</v>
      </c>
      <c r="O32" s="105">
        <f t="shared" si="4"/>
        <v>8273</v>
      </c>
      <c r="P32" s="105">
        <f t="shared" si="4"/>
        <v>8454</v>
      </c>
      <c r="Q32" s="105">
        <f t="shared" si="4"/>
        <v>8638</v>
      </c>
      <c r="R32" s="105">
        <f t="shared" si="4"/>
        <v>8826</v>
      </c>
      <c r="S32" s="105">
        <f t="shared" si="4"/>
        <v>9018</v>
      </c>
      <c r="T32" s="105">
        <f t="shared" si="4"/>
        <v>9214</v>
      </c>
      <c r="U32" s="105">
        <f t="shared" si="4"/>
        <v>9414</v>
      </c>
      <c r="V32" s="105">
        <f t="shared" si="4"/>
        <v>9617</v>
      </c>
      <c r="W32" s="105">
        <f t="shared" si="4"/>
        <v>9825</v>
      </c>
      <c r="X32" s="105">
        <f>ROUND(X16*0.25,0)</f>
        <v>10037</v>
      </c>
      <c r="Y32" s="105">
        <f>SUM(C32:W32)</f>
        <v>161335</v>
      </c>
    </row>
    <row r="33" spans="1:25" ht="12.75">
      <c r="A33" s="3" t="s">
        <v>177</v>
      </c>
      <c r="C33" s="105">
        <v>0</v>
      </c>
      <c r="D33" s="105">
        <v>1200</v>
      </c>
      <c r="E33" s="105">
        <f aca="true" t="shared" si="5" ref="E33:X33">ROUND(D33*1.025,0)</f>
        <v>1230</v>
      </c>
      <c r="F33" s="105">
        <f t="shared" si="5"/>
        <v>1261</v>
      </c>
      <c r="G33" s="105">
        <f t="shared" si="5"/>
        <v>1293</v>
      </c>
      <c r="H33" s="105">
        <f t="shared" si="5"/>
        <v>1325</v>
      </c>
      <c r="I33" s="105">
        <f t="shared" si="5"/>
        <v>1358</v>
      </c>
      <c r="J33" s="105">
        <f t="shared" si="5"/>
        <v>1392</v>
      </c>
      <c r="K33" s="105">
        <f t="shared" si="5"/>
        <v>1427</v>
      </c>
      <c r="L33" s="105">
        <f t="shared" si="5"/>
        <v>1463</v>
      </c>
      <c r="M33" s="105">
        <f t="shared" si="5"/>
        <v>1500</v>
      </c>
      <c r="N33" s="105">
        <f t="shared" si="5"/>
        <v>1538</v>
      </c>
      <c r="O33" s="105">
        <f t="shared" si="5"/>
        <v>1576</v>
      </c>
      <c r="P33" s="105">
        <f t="shared" si="5"/>
        <v>1615</v>
      </c>
      <c r="Q33" s="105">
        <f t="shared" si="5"/>
        <v>1655</v>
      </c>
      <c r="R33" s="105">
        <f t="shared" si="5"/>
        <v>1696</v>
      </c>
      <c r="S33" s="105">
        <f t="shared" si="5"/>
        <v>1738</v>
      </c>
      <c r="T33" s="105">
        <f t="shared" si="5"/>
        <v>1781</v>
      </c>
      <c r="U33" s="105">
        <f t="shared" si="5"/>
        <v>1826</v>
      </c>
      <c r="V33" s="105">
        <f t="shared" si="5"/>
        <v>1872</v>
      </c>
      <c r="W33" s="105">
        <f t="shared" si="5"/>
        <v>1919</v>
      </c>
      <c r="X33" s="105">
        <f t="shared" si="5"/>
        <v>1967</v>
      </c>
      <c r="Y33" s="105">
        <f>SUM(C33:W33)</f>
        <v>30665</v>
      </c>
    </row>
    <row r="34" spans="1:25" ht="12.75">
      <c r="A34" s="112" t="s">
        <v>130</v>
      </c>
      <c r="B34" s="12"/>
      <c r="C34" s="113">
        <v>0</v>
      </c>
      <c r="D34" s="113">
        <v>19000</v>
      </c>
      <c r="E34" s="113">
        <v>0</v>
      </c>
      <c r="F34" s="105">
        <f>+'Robert Smyth'!F62</f>
        <v>0</v>
      </c>
      <c r="G34" s="105">
        <f>+'Robert Smyth'!G62</f>
        <v>0</v>
      </c>
      <c r="H34" s="105">
        <f>+'Robert Smyth'!H62</f>
        <v>0</v>
      </c>
      <c r="I34" s="105">
        <f>+'Robert Smyth'!I62</f>
        <v>0</v>
      </c>
      <c r="J34" s="105">
        <f>+'Robert Smyth'!J62</f>
        <v>0</v>
      </c>
      <c r="K34" s="105">
        <f>+'Robert Smyth'!K62</f>
        <v>0</v>
      </c>
      <c r="L34" s="105">
        <f>+'Robert Smyth'!L62</f>
        <v>0</v>
      </c>
      <c r="M34" s="105">
        <f>+'Robert Smyth'!M62</f>
        <v>0</v>
      </c>
      <c r="N34" s="105">
        <f>+'Robert Smyth'!N62</f>
        <v>0</v>
      </c>
      <c r="O34" s="105">
        <f>+'Robert Smyth'!O62</f>
        <v>0</v>
      </c>
      <c r="P34" s="105">
        <f>+'Robert Smyth'!P62</f>
        <v>0</v>
      </c>
      <c r="Q34" s="105">
        <f>+'Robert Smyth'!Q62</f>
        <v>0</v>
      </c>
      <c r="R34" s="105">
        <f>+'Robert Smyth'!R62</f>
        <v>0</v>
      </c>
      <c r="S34" s="105">
        <f>+'Robert Smyth'!S62</f>
        <v>0</v>
      </c>
      <c r="T34" s="105">
        <f>+'Robert Smyth'!T62</f>
        <v>0</v>
      </c>
      <c r="U34" s="105">
        <f>+'Robert Smyth'!U62</f>
        <v>0</v>
      </c>
      <c r="V34" s="105">
        <f>+'Robert Smyth'!V62</f>
        <v>0</v>
      </c>
      <c r="W34" s="105">
        <f>+'Robert Smyth'!W62</f>
        <v>0</v>
      </c>
      <c r="X34" s="105">
        <f>+'Robert Smyth'!X62</f>
        <v>0</v>
      </c>
      <c r="Y34" s="105">
        <f>SUM(C34:W34)</f>
        <v>19000</v>
      </c>
    </row>
    <row r="35" ht="7.5" customHeight="1">
      <c r="A35" s="3"/>
    </row>
    <row r="36" spans="1:25" s="1" customFormat="1" ht="12.75">
      <c r="A36" s="1" t="s">
        <v>181</v>
      </c>
      <c r="C36" s="107">
        <f aca="true" t="shared" si="6" ref="C36:Y36">SUM(C32:C35)</f>
        <v>0</v>
      </c>
      <c r="D36" s="107">
        <f t="shared" si="6"/>
        <v>26708</v>
      </c>
      <c r="E36" s="107">
        <f t="shared" si="6"/>
        <v>7883</v>
      </c>
      <c r="F36" s="107">
        <f t="shared" si="6"/>
        <v>8061</v>
      </c>
      <c r="G36" s="107">
        <f t="shared" si="6"/>
        <v>8244</v>
      </c>
      <c r="H36" s="107">
        <f t="shared" si="6"/>
        <v>8430</v>
      </c>
      <c r="I36" s="107">
        <f t="shared" si="6"/>
        <v>8620</v>
      </c>
      <c r="J36" s="107">
        <f t="shared" si="6"/>
        <v>8814</v>
      </c>
      <c r="K36" s="107">
        <f t="shared" si="6"/>
        <v>9012</v>
      </c>
      <c r="L36" s="107">
        <f t="shared" si="6"/>
        <v>9215</v>
      </c>
      <c r="M36" s="107">
        <f t="shared" si="6"/>
        <v>9422</v>
      </c>
      <c r="N36" s="107">
        <f t="shared" si="6"/>
        <v>9634</v>
      </c>
      <c r="O36" s="107">
        <f t="shared" si="6"/>
        <v>9849</v>
      </c>
      <c r="P36" s="107">
        <f t="shared" si="6"/>
        <v>10069</v>
      </c>
      <c r="Q36" s="107">
        <f t="shared" si="6"/>
        <v>10293</v>
      </c>
      <c r="R36" s="107">
        <f t="shared" si="6"/>
        <v>10522</v>
      </c>
      <c r="S36" s="107">
        <f t="shared" si="6"/>
        <v>10756</v>
      </c>
      <c r="T36" s="107">
        <f t="shared" si="6"/>
        <v>10995</v>
      </c>
      <c r="U36" s="107">
        <f t="shared" si="6"/>
        <v>11240</v>
      </c>
      <c r="V36" s="107">
        <f t="shared" si="6"/>
        <v>11489</v>
      </c>
      <c r="W36" s="107">
        <f t="shared" si="6"/>
        <v>11744</v>
      </c>
      <c r="X36" s="107">
        <f>SUM(X32:X35)</f>
        <v>12004</v>
      </c>
      <c r="Y36" s="107">
        <f t="shared" si="6"/>
        <v>211000</v>
      </c>
    </row>
    <row r="37" ht="7.5" customHeight="1">
      <c r="A37" s="3"/>
    </row>
    <row r="38" ht="12.75">
      <c r="A38" s="104" t="s">
        <v>174</v>
      </c>
    </row>
    <row r="39" ht="7.5" customHeight="1">
      <c r="A39" s="3"/>
    </row>
    <row r="40" spans="1:25" ht="12.75">
      <c r="A40" s="3" t="s">
        <v>176</v>
      </c>
      <c r="C40" s="105">
        <v>0</v>
      </c>
      <c r="D40" s="105">
        <f>ROUND(D24*0.25,2)</f>
        <v>527.96</v>
      </c>
      <c r="E40" s="105">
        <f aca="true" t="shared" si="7" ref="E40:W40">ROUND(E24*0.25,2)</f>
        <v>539.34</v>
      </c>
      <c r="F40" s="105">
        <f t="shared" si="7"/>
        <v>550.95</v>
      </c>
      <c r="G40" s="105">
        <f t="shared" si="7"/>
        <v>562.79</v>
      </c>
      <c r="H40" s="105">
        <f t="shared" si="7"/>
        <v>574.88</v>
      </c>
      <c r="I40" s="105">
        <f t="shared" si="7"/>
        <v>587.2</v>
      </c>
      <c r="J40" s="105">
        <f t="shared" si="7"/>
        <v>599.77</v>
      </c>
      <c r="K40" s="105">
        <f t="shared" si="7"/>
        <v>612.59</v>
      </c>
      <c r="L40" s="105">
        <f t="shared" si="7"/>
        <v>625.66</v>
      </c>
      <c r="M40" s="105">
        <f t="shared" si="7"/>
        <v>639</v>
      </c>
      <c r="N40" s="105">
        <f t="shared" si="7"/>
        <v>652.59</v>
      </c>
      <c r="O40" s="105">
        <f t="shared" si="7"/>
        <v>666.45</v>
      </c>
      <c r="P40" s="105">
        <f t="shared" si="7"/>
        <v>680.58</v>
      </c>
      <c r="Q40" s="105">
        <f t="shared" si="7"/>
        <v>694.99</v>
      </c>
      <c r="R40" s="105">
        <f t="shared" si="7"/>
        <v>709.68</v>
      </c>
      <c r="S40" s="105">
        <f t="shared" si="7"/>
        <v>724.65</v>
      </c>
      <c r="T40" s="105">
        <f t="shared" si="7"/>
        <v>739.9</v>
      </c>
      <c r="U40" s="105">
        <f t="shared" si="7"/>
        <v>755.45</v>
      </c>
      <c r="V40" s="105">
        <f t="shared" si="7"/>
        <v>771.29</v>
      </c>
      <c r="W40" s="105">
        <f t="shared" si="7"/>
        <v>787.44</v>
      </c>
      <c r="X40" s="105">
        <f>ROUND(X24*0.25,2)</f>
        <v>803.89</v>
      </c>
      <c r="Y40" s="105">
        <f>SUM(C40:W40)</f>
        <v>13003.160000000002</v>
      </c>
    </row>
    <row r="41" spans="1:25" ht="12.75">
      <c r="A41" s="3" t="s">
        <v>177</v>
      </c>
      <c r="C41" s="105">
        <v>0</v>
      </c>
      <c r="D41" s="105">
        <v>150</v>
      </c>
      <c r="E41" s="105">
        <f aca="true" t="shared" si="8" ref="E41:X41">ROUND(D41*1.025,0)</f>
        <v>154</v>
      </c>
      <c r="F41" s="105">
        <f t="shared" si="8"/>
        <v>158</v>
      </c>
      <c r="G41" s="105">
        <f t="shared" si="8"/>
        <v>162</v>
      </c>
      <c r="H41" s="105">
        <f t="shared" si="8"/>
        <v>166</v>
      </c>
      <c r="I41" s="105">
        <f t="shared" si="8"/>
        <v>170</v>
      </c>
      <c r="J41" s="105">
        <f t="shared" si="8"/>
        <v>174</v>
      </c>
      <c r="K41" s="105">
        <f t="shared" si="8"/>
        <v>178</v>
      </c>
      <c r="L41" s="105">
        <f t="shared" si="8"/>
        <v>182</v>
      </c>
      <c r="M41" s="105">
        <f t="shared" si="8"/>
        <v>187</v>
      </c>
      <c r="N41" s="105">
        <f t="shared" si="8"/>
        <v>192</v>
      </c>
      <c r="O41" s="105">
        <f t="shared" si="8"/>
        <v>197</v>
      </c>
      <c r="P41" s="105">
        <f t="shared" si="8"/>
        <v>202</v>
      </c>
      <c r="Q41" s="105">
        <f t="shared" si="8"/>
        <v>207</v>
      </c>
      <c r="R41" s="105">
        <f t="shared" si="8"/>
        <v>212</v>
      </c>
      <c r="S41" s="105">
        <f t="shared" si="8"/>
        <v>217</v>
      </c>
      <c r="T41" s="105">
        <f t="shared" si="8"/>
        <v>222</v>
      </c>
      <c r="U41" s="105">
        <f t="shared" si="8"/>
        <v>228</v>
      </c>
      <c r="V41" s="105">
        <f t="shared" si="8"/>
        <v>234</v>
      </c>
      <c r="W41" s="105">
        <f t="shared" si="8"/>
        <v>240</v>
      </c>
      <c r="X41" s="105">
        <f t="shared" si="8"/>
        <v>246</v>
      </c>
      <c r="Y41" s="105">
        <f>SUM(C41:W41)</f>
        <v>3832</v>
      </c>
    </row>
    <row r="42" spans="1:25" ht="12.75">
      <c r="A42" s="3" t="s">
        <v>178</v>
      </c>
      <c r="C42" s="105">
        <f>+'Archway House'!C61</f>
        <v>0</v>
      </c>
      <c r="D42" s="105">
        <f>+'Archway House'!D61</f>
        <v>0</v>
      </c>
      <c r="E42" s="105">
        <f>+'Archway House'!E61</f>
        <v>0</v>
      </c>
      <c r="F42" s="105">
        <f>+'Archway House'!F61</f>
        <v>0</v>
      </c>
      <c r="G42" s="105">
        <f>+'Archway House'!G61</f>
        <v>0</v>
      </c>
      <c r="H42" s="105">
        <f>+'Archway House'!H61</f>
        <v>0</v>
      </c>
      <c r="I42" s="105">
        <f>+'Archway House'!I61</f>
        <v>0</v>
      </c>
      <c r="J42" s="105">
        <f>+'Archway House'!J61</f>
        <v>0</v>
      </c>
      <c r="K42" s="105">
        <f>+'Archway House'!K61</f>
        <v>220</v>
      </c>
      <c r="L42" s="105">
        <f>+'Archway House'!L61</f>
        <v>220</v>
      </c>
      <c r="M42" s="105">
        <f>+'Archway House'!M61</f>
        <v>220</v>
      </c>
      <c r="N42" s="105">
        <f>+'Archway House'!N61</f>
        <v>220</v>
      </c>
      <c r="O42" s="105">
        <f>+'Archway House'!O61</f>
        <v>220</v>
      </c>
      <c r="P42" s="105">
        <f>+'Archway House'!P61</f>
        <v>220</v>
      </c>
      <c r="Q42" s="105">
        <f>+'Archway House'!Q61</f>
        <v>0</v>
      </c>
      <c r="R42" s="105">
        <f>+'Archway House'!R61</f>
        <v>0</v>
      </c>
      <c r="S42" s="105">
        <f>+'Archway House'!S61</f>
        <v>0</v>
      </c>
      <c r="T42" s="105">
        <f>+'Archway House'!T61</f>
        <v>0</v>
      </c>
      <c r="U42" s="105">
        <f>+'Archway House'!U61</f>
        <v>0</v>
      </c>
      <c r="V42" s="105">
        <f>+'Archway House'!V61</f>
        <v>0</v>
      </c>
      <c r="W42" s="105">
        <f>+'Archway House'!W61</f>
        <v>0</v>
      </c>
      <c r="X42" s="105">
        <f>+'Archway House'!X61</f>
        <v>0</v>
      </c>
      <c r="Y42" s="105">
        <f>SUM(C42:W42)</f>
        <v>1320</v>
      </c>
    </row>
    <row r="43" spans="1:25" ht="12.75">
      <c r="A43" s="3" t="s">
        <v>130</v>
      </c>
      <c r="C43" s="105">
        <v>0</v>
      </c>
      <c r="D43" s="105">
        <v>1000</v>
      </c>
      <c r="E43" s="105">
        <v>0</v>
      </c>
      <c r="F43" s="105">
        <v>0</v>
      </c>
      <c r="G43" s="105">
        <f>+'Archway House'!G62</f>
        <v>0</v>
      </c>
      <c r="H43" s="105">
        <f>+'Archway House'!H62</f>
        <v>0</v>
      </c>
      <c r="I43" s="105">
        <f>+'Archway House'!I62</f>
        <v>0</v>
      </c>
      <c r="J43" s="105">
        <f>+'Archway House'!J62</f>
        <v>0</v>
      </c>
      <c r="K43" s="105">
        <f>+'Archway House'!K62</f>
        <v>0</v>
      </c>
      <c r="L43" s="105">
        <f>+'Archway House'!L62</f>
        <v>0</v>
      </c>
      <c r="M43" s="105">
        <f>+'Archway House'!M62</f>
        <v>0</v>
      </c>
      <c r="N43" s="105">
        <f>+'Archway House'!N62</f>
        <v>0</v>
      </c>
      <c r="O43" s="105">
        <f>+'Archway House'!O62</f>
        <v>0</v>
      </c>
      <c r="P43" s="105">
        <f>+'Archway House'!P62</f>
        <v>0</v>
      </c>
      <c r="Q43" s="105">
        <f>+'Archway House'!Q62</f>
        <v>0</v>
      </c>
      <c r="R43" s="105">
        <f>+'Archway House'!R62</f>
        <v>0</v>
      </c>
      <c r="S43" s="105">
        <f>+'Archway House'!S62</f>
        <v>0</v>
      </c>
      <c r="T43" s="105">
        <f>+'Archway House'!T62</f>
        <v>0</v>
      </c>
      <c r="U43" s="105">
        <f>+'Archway House'!U62</f>
        <v>0</v>
      </c>
      <c r="V43" s="105">
        <f>+'Archway House'!V62</f>
        <v>0</v>
      </c>
      <c r="W43" s="105">
        <f>+'Archway House'!W62</f>
        <v>0</v>
      </c>
      <c r="X43" s="105">
        <f>+'Archway House'!X62</f>
        <v>0</v>
      </c>
      <c r="Y43" s="105">
        <f>SUM(C43:W43)</f>
        <v>1000</v>
      </c>
    </row>
    <row r="44" ht="7.5" customHeight="1">
      <c r="A44" s="3"/>
    </row>
    <row r="45" spans="1:25" s="1" customFormat="1" ht="12.75">
      <c r="A45" s="1" t="s">
        <v>182</v>
      </c>
      <c r="C45" s="107">
        <f>SUM(C40:C44)</f>
        <v>0</v>
      </c>
      <c r="D45" s="107">
        <f aca="true" t="shared" si="9" ref="D45:Y45">SUM(D40:D44)</f>
        <v>1677.96</v>
      </c>
      <c r="E45" s="107">
        <f t="shared" si="9"/>
        <v>693.34</v>
      </c>
      <c r="F45" s="107">
        <f t="shared" si="9"/>
        <v>708.95</v>
      </c>
      <c r="G45" s="107">
        <f t="shared" si="9"/>
        <v>724.79</v>
      </c>
      <c r="H45" s="107">
        <f t="shared" si="9"/>
        <v>740.88</v>
      </c>
      <c r="I45" s="107">
        <f t="shared" si="9"/>
        <v>757.2</v>
      </c>
      <c r="J45" s="107">
        <f t="shared" si="9"/>
        <v>773.77</v>
      </c>
      <c r="K45" s="107">
        <f t="shared" si="9"/>
        <v>1010.59</v>
      </c>
      <c r="L45" s="107">
        <f t="shared" si="9"/>
        <v>1027.6599999999999</v>
      </c>
      <c r="M45" s="107">
        <f t="shared" si="9"/>
        <v>1046</v>
      </c>
      <c r="N45" s="107">
        <f t="shared" si="9"/>
        <v>1064.5900000000001</v>
      </c>
      <c r="O45" s="107">
        <f t="shared" si="9"/>
        <v>1083.45</v>
      </c>
      <c r="P45" s="107">
        <f t="shared" si="9"/>
        <v>1102.58</v>
      </c>
      <c r="Q45" s="107">
        <f t="shared" si="9"/>
        <v>901.99</v>
      </c>
      <c r="R45" s="107">
        <f t="shared" si="9"/>
        <v>921.68</v>
      </c>
      <c r="S45" s="107">
        <f t="shared" si="9"/>
        <v>941.65</v>
      </c>
      <c r="T45" s="107">
        <f t="shared" si="9"/>
        <v>961.9</v>
      </c>
      <c r="U45" s="107">
        <f t="shared" si="9"/>
        <v>983.45</v>
      </c>
      <c r="V45" s="107">
        <f t="shared" si="9"/>
        <v>1005.29</v>
      </c>
      <c r="W45" s="107">
        <f t="shared" si="9"/>
        <v>1027.44</v>
      </c>
      <c r="X45" s="107">
        <f>SUM(X40:X44)</f>
        <v>1049.8899999999999</v>
      </c>
      <c r="Y45" s="107">
        <f t="shared" si="9"/>
        <v>19155.160000000003</v>
      </c>
    </row>
    <row r="46" spans="1:25" ht="7.5" customHeight="1">
      <c r="A46" s="3"/>
      <c r="Y46" s="105"/>
    </row>
    <row r="47" spans="1:25" s="1" customFormat="1" ht="12.75">
      <c r="A47" s="1" t="s">
        <v>184</v>
      </c>
      <c r="C47" s="107">
        <f>+C45+C36</f>
        <v>0</v>
      </c>
      <c r="D47" s="107">
        <f aca="true" t="shared" si="10" ref="D47:W47">+D45+D36</f>
        <v>28385.96</v>
      </c>
      <c r="E47" s="107">
        <f t="shared" si="10"/>
        <v>8576.34</v>
      </c>
      <c r="F47" s="107">
        <f t="shared" si="10"/>
        <v>8769.95</v>
      </c>
      <c r="G47" s="107">
        <f t="shared" si="10"/>
        <v>8968.79</v>
      </c>
      <c r="H47" s="107">
        <f t="shared" si="10"/>
        <v>9170.88</v>
      </c>
      <c r="I47" s="107">
        <f t="shared" si="10"/>
        <v>9377.2</v>
      </c>
      <c r="J47" s="107">
        <f t="shared" si="10"/>
        <v>9587.77</v>
      </c>
      <c r="K47" s="107">
        <f t="shared" si="10"/>
        <v>10022.59</v>
      </c>
      <c r="L47" s="107">
        <f t="shared" si="10"/>
        <v>10242.66</v>
      </c>
      <c r="M47" s="107">
        <f t="shared" si="10"/>
        <v>10468</v>
      </c>
      <c r="N47" s="107">
        <f t="shared" si="10"/>
        <v>10698.59</v>
      </c>
      <c r="O47" s="107">
        <f t="shared" si="10"/>
        <v>10932.45</v>
      </c>
      <c r="P47" s="107">
        <f t="shared" si="10"/>
        <v>11171.58</v>
      </c>
      <c r="Q47" s="107">
        <f t="shared" si="10"/>
        <v>11194.99</v>
      </c>
      <c r="R47" s="107">
        <f t="shared" si="10"/>
        <v>11443.68</v>
      </c>
      <c r="S47" s="107">
        <f t="shared" si="10"/>
        <v>11697.65</v>
      </c>
      <c r="T47" s="107">
        <f t="shared" si="10"/>
        <v>11956.9</v>
      </c>
      <c r="U47" s="107">
        <f t="shared" si="10"/>
        <v>12223.45</v>
      </c>
      <c r="V47" s="107">
        <f t="shared" si="10"/>
        <v>12494.29</v>
      </c>
      <c r="W47" s="107">
        <f t="shared" si="10"/>
        <v>12771.44</v>
      </c>
      <c r="X47" s="107">
        <f>+X45+X36</f>
        <v>13053.89</v>
      </c>
      <c r="Y47" s="107">
        <f>+Y45+Y36</f>
        <v>230155.16</v>
      </c>
    </row>
    <row r="48" spans="1:25" ht="12.75">
      <c r="A48" s="3"/>
      <c r="Y48" s="105"/>
    </row>
    <row r="49" spans="1:25" s="1" customFormat="1" ht="12.75">
      <c r="A49" s="1" t="s">
        <v>183</v>
      </c>
      <c r="C49" s="107">
        <f aca="true" t="shared" si="11" ref="C49:Y49">+C26-C47</f>
        <v>0</v>
      </c>
      <c r="D49" s="107">
        <f t="shared" si="11"/>
        <v>-240.35449999999764</v>
      </c>
      <c r="E49" s="107">
        <f t="shared" si="11"/>
        <v>20192.5939845375</v>
      </c>
      <c r="F49" s="107">
        <f t="shared" si="11"/>
        <v>20635.337907519377</v>
      </c>
      <c r="G49" s="107">
        <f t="shared" si="11"/>
        <v>21086.1108367462</v>
      </c>
      <c r="H49" s="107">
        <f t="shared" si="11"/>
        <v>21547.12858257063</v>
      </c>
      <c r="I49" s="107">
        <f t="shared" si="11"/>
        <v>22017.649107851037</v>
      </c>
      <c r="J49" s="107">
        <f t="shared" si="11"/>
        <v>22497.892429654024</v>
      </c>
      <c r="K49" s="107">
        <f t="shared" si="11"/>
        <v>22768.100512253946</v>
      </c>
      <c r="L49" s="107">
        <f t="shared" si="11"/>
        <v>23267.517150956537</v>
      </c>
      <c r="M49" s="107">
        <f t="shared" si="11"/>
        <v>23776.36784625137</v>
      </c>
      <c r="N49" s="107">
        <f t="shared" si="11"/>
        <v>24294.919667775026</v>
      </c>
      <c r="O49" s="107">
        <f t="shared" si="11"/>
        <v>24825.401107542322</v>
      </c>
      <c r="P49" s="107">
        <f t="shared" si="11"/>
        <v>25366.061921878165</v>
      </c>
      <c r="Q49" s="107">
        <f t="shared" si="11"/>
        <v>26138.142961455967</v>
      </c>
      <c r="R49" s="107">
        <f t="shared" si="11"/>
        <v>26700.895988821343</v>
      </c>
      <c r="S49" s="107">
        <f t="shared" si="11"/>
        <v>27274.573482751104</v>
      </c>
      <c r="T49" s="107">
        <f t="shared" si="11"/>
        <v>27859.42842876765</v>
      </c>
      <c r="U49" s="107">
        <f t="shared" si="11"/>
        <v>28453.694095097937</v>
      </c>
      <c r="V49" s="107">
        <f t="shared" si="11"/>
        <v>29060.63379333332</v>
      </c>
      <c r="W49" s="107">
        <f t="shared" si="11"/>
        <v>29678.48062301318</v>
      </c>
      <c r="X49" s="107">
        <f>+X26-X47</f>
        <v>30308.49719931947</v>
      </c>
      <c r="Y49" s="107">
        <f t="shared" si="11"/>
        <v>467200.57592877664</v>
      </c>
    </row>
    <row r="50" ht="12.75">
      <c r="A50" s="3"/>
    </row>
    <row r="51" ht="12.75">
      <c r="A51" s="35" t="s">
        <v>179</v>
      </c>
    </row>
    <row r="52" ht="7.5" customHeight="1">
      <c r="A52" s="3"/>
    </row>
    <row r="53" spans="1:25" ht="12.75">
      <c r="A53" s="3" t="s">
        <v>216</v>
      </c>
      <c r="C53" s="105">
        <v>0</v>
      </c>
      <c r="D53" s="105">
        <v>8630</v>
      </c>
      <c r="E53" s="105">
        <v>8630</v>
      </c>
      <c r="F53" s="105">
        <v>8630</v>
      </c>
      <c r="G53" s="105">
        <v>8630</v>
      </c>
      <c r="H53" s="105">
        <v>8630</v>
      </c>
      <c r="I53" s="105">
        <v>8630</v>
      </c>
      <c r="J53" s="105">
        <v>8630</v>
      </c>
      <c r="K53" s="105">
        <v>8630</v>
      </c>
      <c r="L53" s="105">
        <v>8630</v>
      </c>
      <c r="M53" s="105">
        <v>8630</v>
      </c>
      <c r="N53" s="105">
        <v>8630</v>
      </c>
      <c r="O53" s="105">
        <v>8630</v>
      </c>
      <c r="P53" s="105">
        <v>8630</v>
      </c>
      <c r="Q53" s="105">
        <v>8630</v>
      </c>
      <c r="R53" s="105">
        <f aca="true" t="shared" si="12" ref="R53:X53">8630+3672</f>
        <v>12302</v>
      </c>
      <c r="S53" s="105">
        <f t="shared" si="12"/>
        <v>12302</v>
      </c>
      <c r="T53" s="105">
        <f t="shared" si="12"/>
        <v>12302</v>
      </c>
      <c r="U53" s="105">
        <f t="shared" si="12"/>
        <v>12302</v>
      </c>
      <c r="V53" s="105">
        <f t="shared" si="12"/>
        <v>12302</v>
      </c>
      <c r="W53" s="105">
        <f t="shared" si="12"/>
        <v>12302</v>
      </c>
      <c r="X53" s="105">
        <f t="shared" si="12"/>
        <v>12302</v>
      </c>
      <c r="Y53" s="105">
        <f>SUM(C53:W53)</f>
        <v>194632</v>
      </c>
    </row>
    <row r="54" spans="1:25" ht="12.75">
      <c r="A54" s="3" t="s">
        <v>217</v>
      </c>
      <c r="C54" s="105">
        <v>0</v>
      </c>
      <c r="D54" s="105">
        <v>550</v>
      </c>
      <c r="E54" s="105">
        <v>550</v>
      </c>
      <c r="F54" s="105">
        <v>550</v>
      </c>
      <c r="G54" s="105">
        <v>550</v>
      </c>
      <c r="H54" s="105">
        <v>550</v>
      </c>
      <c r="I54" s="105">
        <v>550</v>
      </c>
      <c r="J54" s="105">
        <v>550</v>
      </c>
      <c r="K54" s="105">
        <v>550</v>
      </c>
      <c r="L54" s="105">
        <v>550</v>
      </c>
      <c r="M54" s="105">
        <v>550</v>
      </c>
      <c r="N54" s="105">
        <v>550</v>
      </c>
      <c r="O54" s="105">
        <v>550</v>
      </c>
      <c r="P54" s="105">
        <v>550</v>
      </c>
      <c r="Q54" s="105">
        <v>550</v>
      </c>
      <c r="R54" s="105">
        <v>550</v>
      </c>
      <c r="S54" s="105">
        <v>550</v>
      </c>
      <c r="T54" s="105">
        <v>550</v>
      </c>
      <c r="U54" s="105">
        <v>550</v>
      </c>
      <c r="V54" s="105">
        <v>550</v>
      </c>
      <c r="W54" s="105">
        <v>550</v>
      </c>
      <c r="X54" s="105">
        <v>551</v>
      </c>
      <c r="Y54" s="105">
        <f>SUM(C54:W54)</f>
        <v>11000</v>
      </c>
    </row>
    <row r="55" ht="7.5" customHeight="1">
      <c r="A55" s="1"/>
    </row>
    <row r="56" spans="1:25" s="1" customFormat="1" ht="12.75">
      <c r="A56" s="1" t="s">
        <v>185</v>
      </c>
      <c r="C56" s="107">
        <f>SUM(C53:C55)</f>
        <v>0</v>
      </c>
      <c r="D56" s="107">
        <f aca="true" t="shared" si="13" ref="D56:Y56">SUM(D53:D55)</f>
        <v>9180</v>
      </c>
      <c r="E56" s="107">
        <f t="shared" si="13"/>
        <v>9180</v>
      </c>
      <c r="F56" s="107">
        <f t="shared" si="13"/>
        <v>9180</v>
      </c>
      <c r="G56" s="107">
        <f t="shared" si="13"/>
        <v>9180</v>
      </c>
      <c r="H56" s="107">
        <f t="shared" si="13"/>
        <v>9180</v>
      </c>
      <c r="I56" s="107">
        <f t="shared" si="13"/>
        <v>9180</v>
      </c>
      <c r="J56" s="107">
        <f t="shared" si="13"/>
        <v>9180</v>
      </c>
      <c r="K56" s="107">
        <f t="shared" si="13"/>
        <v>9180</v>
      </c>
      <c r="L56" s="107">
        <f t="shared" si="13"/>
        <v>9180</v>
      </c>
      <c r="M56" s="107">
        <f t="shared" si="13"/>
        <v>9180</v>
      </c>
      <c r="N56" s="107">
        <f t="shared" si="13"/>
        <v>9180</v>
      </c>
      <c r="O56" s="107">
        <f t="shared" si="13"/>
        <v>9180</v>
      </c>
      <c r="P56" s="107">
        <f t="shared" si="13"/>
        <v>9180</v>
      </c>
      <c r="Q56" s="107">
        <f t="shared" si="13"/>
        <v>9180</v>
      </c>
      <c r="R56" s="107">
        <f t="shared" si="13"/>
        <v>12852</v>
      </c>
      <c r="S56" s="107">
        <f t="shared" si="13"/>
        <v>12852</v>
      </c>
      <c r="T56" s="107">
        <f t="shared" si="13"/>
        <v>12852</v>
      </c>
      <c r="U56" s="107">
        <f t="shared" si="13"/>
        <v>12852</v>
      </c>
      <c r="V56" s="107">
        <f t="shared" si="13"/>
        <v>12852</v>
      </c>
      <c r="W56" s="107">
        <f t="shared" si="13"/>
        <v>12852</v>
      </c>
      <c r="X56" s="107">
        <f>SUM(X53:X55)</f>
        <v>12853</v>
      </c>
      <c r="Y56" s="107">
        <f t="shared" si="13"/>
        <v>205632</v>
      </c>
    </row>
    <row r="57" spans="1:25" ht="12.75">
      <c r="A57" s="3"/>
      <c r="Y57" s="105"/>
    </row>
    <row r="58" spans="1:25" s="1" customFormat="1" ht="12.75">
      <c r="A58" s="1" t="s">
        <v>188</v>
      </c>
      <c r="C58" s="107">
        <f>+C49-C56</f>
        <v>0</v>
      </c>
      <c r="D58" s="107">
        <f aca="true" t="shared" si="14" ref="D58:W58">+D49-D56</f>
        <v>-9420.354499999998</v>
      </c>
      <c r="E58" s="107">
        <f t="shared" si="14"/>
        <v>11012.5939845375</v>
      </c>
      <c r="F58" s="107">
        <f t="shared" si="14"/>
        <v>11455.337907519377</v>
      </c>
      <c r="G58" s="107">
        <f t="shared" si="14"/>
        <v>11906.1108367462</v>
      </c>
      <c r="H58" s="107">
        <f t="shared" si="14"/>
        <v>12367.128582570629</v>
      </c>
      <c r="I58" s="107">
        <f t="shared" si="14"/>
        <v>12837.649107851037</v>
      </c>
      <c r="J58" s="107">
        <f t="shared" si="14"/>
        <v>13317.892429654024</v>
      </c>
      <c r="K58" s="107">
        <f t="shared" si="14"/>
        <v>13588.100512253946</v>
      </c>
      <c r="L58" s="107">
        <f t="shared" si="14"/>
        <v>14087.517150956537</v>
      </c>
      <c r="M58" s="107">
        <f t="shared" si="14"/>
        <v>14596.36784625137</v>
      </c>
      <c r="N58" s="107">
        <f t="shared" si="14"/>
        <v>15114.919667775026</v>
      </c>
      <c r="O58" s="107">
        <f t="shared" si="14"/>
        <v>15645.401107542322</v>
      </c>
      <c r="P58" s="107">
        <f t="shared" si="14"/>
        <v>16186.061921878165</v>
      </c>
      <c r="Q58" s="107">
        <f t="shared" si="14"/>
        <v>16958.142961455967</v>
      </c>
      <c r="R58" s="107">
        <f t="shared" si="14"/>
        <v>13848.895988821343</v>
      </c>
      <c r="S58" s="107">
        <f t="shared" si="14"/>
        <v>14422.573482751104</v>
      </c>
      <c r="T58" s="107">
        <f t="shared" si="14"/>
        <v>15007.42842876765</v>
      </c>
      <c r="U58" s="107">
        <f t="shared" si="14"/>
        <v>15601.694095097937</v>
      </c>
      <c r="V58" s="107">
        <f t="shared" si="14"/>
        <v>16208.63379333332</v>
      </c>
      <c r="W58" s="107">
        <f t="shared" si="14"/>
        <v>16826.48062301318</v>
      </c>
      <c r="X58" s="107">
        <f>+X49-X56</f>
        <v>17455.49719931947</v>
      </c>
      <c r="Y58" s="107">
        <f>+Y49-Y56</f>
        <v>261568.57592877664</v>
      </c>
    </row>
    <row r="59" spans="3:24" s="1" customFormat="1" ht="12.75"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</row>
    <row r="60" ht="12.75">
      <c r="A60" s="35" t="s">
        <v>189</v>
      </c>
    </row>
    <row r="61" ht="7.5" customHeight="1"/>
    <row r="62" spans="1:25" ht="12.75">
      <c r="A62" s="3" t="s">
        <v>190</v>
      </c>
      <c r="C62" s="105">
        <f>+'Robert Smyth'!C57</f>
        <v>0</v>
      </c>
      <c r="E62" s="105">
        <f>+'Robert Smyth'!D57</f>
        <v>8630</v>
      </c>
      <c r="F62" s="105">
        <f>+'Robert Smyth'!E57</f>
        <v>8630</v>
      </c>
      <c r="G62" s="105">
        <f>+'Robert Smyth'!F57</f>
        <v>8630</v>
      </c>
      <c r="H62" s="105">
        <f>+'Robert Smyth'!G57</f>
        <v>8630</v>
      </c>
      <c r="I62" s="105">
        <f>+'Robert Smyth'!H57</f>
        <v>8630</v>
      </c>
      <c r="J62" s="105">
        <f>+'Robert Smyth'!I57</f>
        <v>8122.353</v>
      </c>
      <c r="K62" s="105">
        <f>+'Robert Smyth'!J57</f>
        <v>7614.706</v>
      </c>
      <c r="L62" s="105">
        <f>+'Robert Smyth'!K57</f>
        <v>7107.059</v>
      </c>
      <c r="M62" s="105">
        <f>+'Robert Smyth'!L57</f>
        <v>6599.412</v>
      </c>
      <c r="N62" s="105">
        <f>+'Robert Smyth'!M57</f>
        <v>6091.764999999999</v>
      </c>
      <c r="O62" s="105">
        <f>+'Robert Smyth'!N57</f>
        <v>5584.1179999999995</v>
      </c>
      <c r="P62" s="105">
        <f>+'Robert Smyth'!O57</f>
        <v>5076.471</v>
      </c>
      <c r="Q62" s="105">
        <f>+'Robert Smyth'!P57</f>
        <v>4568.824</v>
      </c>
      <c r="R62" s="105">
        <f>+'Robert Smyth'!Q57</f>
        <v>4061.176999999999</v>
      </c>
      <c r="S62" s="105">
        <f>+'Robert Smyth'!R57</f>
        <v>3553.529999999999</v>
      </c>
      <c r="T62" s="105">
        <f>+'Robert Smyth'!S57</f>
        <v>3045.882999999999</v>
      </c>
      <c r="U62" s="105">
        <f>+'Robert Smyth'!T57</f>
        <v>2538.235999999999</v>
      </c>
      <c r="V62" s="105">
        <f>+'Robert Smyth'!U57</f>
        <v>2030.5889999999986</v>
      </c>
      <c r="W62" s="105">
        <f>+'Robert Smyth'!V57</f>
        <v>1522.9419999999984</v>
      </c>
      <c r="X62" s="105">
        <f>+'Robert Smyth'!W57</f>
        <v>1015.2949999999983</v>
      </c>
      <c r="Y62" s="105">
        <f>SUM(C62:W62)</f>
        <v>110667.06499999999</v>
      </c>
    </row>
    <row r="63" spans="1:25" ht="12.75">
      <c r="A63" s="3" t="s">
        <v>191</v>
      </c>
      <c r="C63" s="105">
        <f>+'Archway House'!C57</f>
        <v>0</v>
      </c>
      <c r="E63" s="105">
        <f>+'Archway House'!D57</f>
        <v>550</v>
      </c>
      <c r="F63" s="105">
        <f>+'Archway House'!E57</f>
        <v>550</v>
      </c>
      <c r="G63" s="105">
        <f>+'Archway House'!F57</f>
        <v>550</v>
      </c>
      <c r="H63" s="105">
        <f>+'Archway House'!G57</f>
        <v>550</v>
      </c>
      <c r="I63" s="105">
        <f>+'Archway House'!H57</f>
        <v>550</v>
      </c>
      <c r="J63" s="105">
        <f>+'Archway House'!I57</f>
        <v>517.647</v>
      </c>
      <c r="K63" s="105">
        <f>+'Archway House'!J57</f>
        <v>485.2940000000001</v>
      </c>
      <c r="L63" s="105">
        <f>+'Archway House'!K57</f>
        <v>452.9410000000001</v>
      </c>
      <c r="M63" s="105">
        <f>+'Archway House'!L57</f>
        <v>420.58800000000014</v>
      </c>
      <c r="N63" s="105">
        <f>+'Archway House'!M57</f>
        <v>388.2350000000001</v>
      </c>
      <c r="O63" s="105">
        <f>+'Archway House'!N57</f>
        <v>355.8820000000002</v>
      </c>
      <c r="P63" s="105">
        <f>+'Archway House'!O57</f>
        <v>323.5290000000002</v>
      </c>
      <c r="Q63" s="105">
        <f>+'Archway House'!P57</f>
        <v>291.1760000000002</v>
      </c>
      <c r="R63" s="105">
        <f>+'Archway House'!Q57</f>
        <v>258.82300000000026</v>
      </c>
      <c r="S63" s="105">
        <f>+'Archway House'!R57</f>
        <v>226.47000000000025</v>
      </c>
      <c r="T63" s="105">
        <f>+'Archway House'!S57</f>
        <v>194.11700000000027</v>
      </c>
      <c r="U63" s="105">
        <f>+'Archway House'!T57</f>
        <v>161.76400000000027</v>
      </c>
      <c r="V63" s="105">
        <f>+'Archway House'!U57</f>
        <v>129.41100000000026</v>
      </c>
      <c r="W63" s="105">
        <f>+'Archway House'!V57</f>
        <v>97.05800000000028</v>
      </c>
      <c r="X63" s="105">
        <f>+'Archway House'!W57</f>
        <v>64.70500000000027</v>
      </c>
      <c r="Y63" s="105">
        <f>SUM(C63:W63)</f>
        <v>7052.935000000002</v>
      </c>
    </row>
    <row r="64" ht="7.5" customHeight="1"/>
    <row r="65" spans="1:25" s="1" customFormat="1" ht="12.75">
      <c r="A65" s="1" t="s">
        <v>192</v>
      </c>
      <c r="C65" s="107">
        <f>SUM(C62:C64)</f>
        <v>0</v>
      </c>
      <c r="D65" s="107">
        <f aca="true" t="shared" si="15" ref="D65:Y65">SUM(D62:D64)</f>
        <v>0</v>
      </c>
      <c r="E65" s="107">
        <f t="shared" si="15"/>
        <v>9180</v>
      </c>
      <c r="F65" s="107">
        <f t="shared" si="15"/>
        <v>9180</v>
      </c>
      <c r="G65" s="107">
        <f t="shared" si="15"/>
        <v>9180</v>
      </c>
      <c r="H65" s="107">
        <f t="shared" si="15"/>
        <v>9180</v>
      </c>
      <c r="I65" s="107">
        <f t="shared" si="15"/>
        <v>9180</v>
      </c>
      <c r="J65" s="107">
        <f t="shared" si="15"/>
        <v>8640</v>
      </c>
      <c r="K65" s="107">
        <f t="shared" si="15"/>
        <v>8100</v>
      </c>
      <c r="L65" s="107">
        <f t="shared" si="15"/>
        <v>7560</v>
      </c>
      <c r="M65" s="107">
        <f t="shared" si="15"/>
        <v>7020</v>
      </c>
      <c r="N65" s="107">
        <f t="shared" si="15"/>
        <v>6480</v>
      </c>
      <c r="O65" s="107">
        <f t="shared" si="15"/>
        <v>5940</v>
      </c>
      <c r="P65" s="107">
        <f t="shared" si="15"/>
        <v>5400</v>
      </c>
      <c r="Q65" s="107">
        <f t="shared" si="15"/>
        <v>4860</v>
      </c>
      <c r="R65" s="107">
        <f t="shared" si="15"/>
        <v>4319.999999999999</v>
      </c>
      <c r="S65" s="107">
        <f t="shared" si="15"/>
        <v>3779.999999999999</v>
      </c>
      <c r="T65" s="107">
        <f t="shared" si="15"/>
        <v>3239.999999999999</v>
      </c>
      <c r="U65" s="107">
        <f t="shared" si="15"/>
        <v>2699.999999999999</v>
      </c>
      <c r="V65" s="107">
        <f t="shared" si="15"/>
        <v>2159.9999999999986</v>
      </c>
      <c r="W65" s="107">
        <f t="shared" si="15"/>
        <v>1619.9999999999986</v>
      </c>
      <c r="X65" s="107">
        <f>SUM(X62:X64)</f>
        <v>1079.9999999999986</v>
      </c>
      <c r="Y65" s="107">
        <f t="shared" si="15"/>
        <v>117719.99999999999</v>
      </c>
    </row>
    <row r="66" ht="12.75">
      <c r="Y66" s="105"/>
    </row>
    <row r="67" spans="1:25" s="1" customFormat="1" ht="12.75">
      <c r="A67" s="1" t="s">
        <v>193</v>
      </c>
      <c r="C67" s="107">
        <f>+C58-C65</f>
        <v>0</v>
      </c>
      <c r="D67" s="107">
        <f>+D58-D65</f>
        <v>-9420.354499999998</v>
      </c>
      <c r="E67" s="107">
        <f aca="true" t="shared" si="16" ref="E67:W67">+E58-E65</f>
        <v>1832.5939845374996</v>
      </c>
      <c r="F67" s="107">
        <f t="shared" si="16"/>
        <v>2275.337907519377</v>
      </c>
      <c r="G67" s="107">
        <f t="shared" si="16"/>
        <v>2726.1108367462</v>
      </c>
      <c r="H67" s="107">
        <f t="shared" si="16"/>
        <v>3187.128582570629</v>
      </c>
      <c r="I67" s="107">
        <f t="shared" si="16"/>
        <v>3657.649107851037</v>
      </c>
      <c r="J67" s="107">
        <f t="shared" si="16"/>
        <v>4677.892429654024</v>
      </c>
      <c r="K67" s="107">
        <f t="shared" si="16"/>
        <v>5488.100512253946</v>
      </c>
      <c r="L67" s="107">
        <f t="shared" si="16"/>
        <v>6527.517150956537</v>
      </c>
      <c r="M67" s="107">
        <f t="shared" si="16"/>
        <v>7576.367846251371</v>
      </c>
      <c r="N67" s="107">
        <f t="shared" si="16"/>
        <v>8634.919667775026</v>
      </c>
      <c r="O67" s="107">
        <f t="shared" si="16"/>
        <v>9705.401107542322</v>
      </c>
      <c r="P67" s="107">
        <f t="shared" si="16"/>
        <v>10786.061921878165</v>
      </c>
      <c r="Q67" s="107">
        <f t="shared" si="16"/>
        <v>12098.142961455967</v>
      </c>
      <c r="R67" s="107">
        <f t="shared" si="16"/>
        <v>9528.895988821343</v>
      </c>
      <c r="S67" s="107">
        <f t="shared" si="16"/>
        <v>10642.573482751104</v>
      </c>
      <c r="T67" s="107">
        <f t="shared" si="16"/>
        <v>11767.42842876765</v>
      </c>
      <c r="U67" s="107">
        <f t="shared" si="16"/>
        <v>12901.694095097937</v>
      </c>
      <c r="V67" s="107">
        <f t="shared" si="16"/>
        <v>14048.633793333322</v>
      </c>
      <c r="W67" s="107">
        <f t="shared" si="16"/>
        <v>15206.480623013182</v>
      </c>
      <c r="X67" s="107">
        <f>+X58-X65</f>
        <v>16375.497199319472</v>
      </c>
      <c r="Y67" s="107">
        <f>+Y58-Y65</f>
        <v>143848.57592877664</v>
      </c>
    </row>
    <row r="69" spans="1:25" ht="12.75">
      <c r="A69" s="3" t="s">
        <v>194</v>
      </c>
      <c r="C69" s="105">
        <f>+'Tax Computation'!C26</f>
        <v>0</v>
      </c>
      <c r="D69" s="105">
        <f>+'Tax Computation'!D26</f>
        <v>0</v>
      </c>
      <c r="E69" s="105">
        <f>+'Tax Computation'!E26</f>
        <v>0</v>
      </c>
      <c r="F69" s="105">
        <f>+'Tax Computation'!F26</f>
        <v>0</v>
      </c>
      <c r="G69" s="105">
        <f>+'Tax Computation'!G26</f>
        <v>0</v>
      </c>
      <c r="H69" s="105">
        <f>+'Tax Computation'!H26</f>
        <v>0</v>
      </c>
      <c r="I69" s="105">
        <f>+'Tax Computation'!I26</f>
        <v>0</v>
      </c>
      <c r="J69" s="105">
        <f>+'Tax Computation'!J26</f>
        <v>0</v>
      </c>
      <c r="K69" s="105">
        <f>+'Tax Computation'!K26</f>
        <v>0</v>
      </c>
      <c r="L69" s="105">
        <f>+'Tax Computation'!L26</f>
        <v>0</v>
      </c>
      <c r="M69" s="105">
        <f>+'Tax Computation'!M26</f>
        <v>0</v>
      </c>
      <c r="N69" s="105">
        <f>+'Tax Computation'!N26</f>
        <v>0</v>
      </c>
      <c r="O69" s="105">
        <f>+'Tax Computation'!O26</f>
        <v>0</v>
      </c>
      <c r="P69" s="105">
        <f>+'Tax Computation'!P26</f>
        <v>0</v>
      </c>
      <c r="Q69" s="105">
        <f>+'Tax Computation'!Q26</f>
        <v>2934.573903398416</v>
      </c>
      <c r="R69" s="105">
        <f>+'Tax Computation'!R26</f>
        <v>4476.17919776427</v>
      </c>
      <c r="S69" s="105">
        <f>+'Tax Computation'!S26</f>
        <v>4698.914696550222</v>
      </c>
      <c r="T69" s="105">
        <f>+'Tax Computation'!T26</f>
        <v>4923.885685753532</v>
      </c>
      <c r="U69" s="105">
        <f>+'Tax Computation'!U26</f>
        <v>5150.738819019585</v>
      </c>
      <c r="V69" s="105">
        <f>+'Tax Computation'!V26</f>
        <v>5380.126758666665</v>
      </c>
      <c r="W69" s="105">
        <f>+'Tax Computation'!W26</f>
        <v>5611.696124602637</v>
      </c>
      <c r="X69" s="105">
        <f>+'Tax Computation'!X26</f>
        <v>0</v>
      </c>
      <c r="Y69" s="105">
        <f>SUM(C69:W69)</f>
        <v>33176.11518575533</v>
      </c>
    </row>
    <row r="71" spans="1:25" s="1" customFormat="1" ht="12.75">
      <c r="A71" s="1" t="s">
        <v>207</v>
      </c>
      <c r="C71" s="107">
        <f>+C67-C69</f>
        <v>0</v>
      </c>
      <c r="D71" s="107">
        <f>+D67-D69</f>
        <v>-9420.354499999998</v>
      </c>
      <c r="E71" s="107">
        <f aca="true" t="shared" si="17" ref="E71:Y71">+E67-E69</f>
        <v>1832.5939845374996</v>
      </c>
      <c r="F71" s="107">
        <f t="shared" si="17"/>
        <v>2275.337907519377</v>
      </c>
      <c r="G71" s="107">
        <f t="shared" si="17"/>
        <v>2726.1108367462</v>
      </c>
      <c r="H71" s="107">
        <f t="shared" si="17"/>
        <v>3187.128582570629</v>
      </c>
      <c r="I71" s="107">
        <f t="shared" si="17"/>
        <v>3657.649107851037</v>
      </c>
      <c r="J71" s="107">
        <f t="shared" si="17"/>
        <v>4677.892429654024</v>
      </c>
      <c r="K71" s="107">
        <f t="shared" si="17"/>
        <v>5488.100512253946</v>
      </c>
      <c r="L71" s="107">
        <f t="shared" si="17"/>
        <v>6527.517150956537</v>
      </c>
      <c r="M71" s="107">
        <f t="shared" si="17"/>
        <v>7576.367846251371</v>
      </c>
      <c r="N71" s="107">
        <f t="shared" si="17"/>
        <v>8634.919667775026</v>
      </c>
      <c r="O71" s="107">
        <f t="shared" si="17"/>
        <v>9705.401107542322</v>
      </c>
      <c r="P71" s="107">
        <f t="shared" si="17"/>
        <v>10786.061921878165</v>
      </c>
      <c r="Q71" s="107">
        <f t="shared" si="17"/>
        <v>9163.569058057552</v>
      </c>
      <c r="R71" s="107">
        <f t="shared" si="17"/>
        <v>5052.716791057073</v>
      </c>
      <c r="S71" s="107">
        <f t="shared" si="17"/>
        <v>5943.658786200882</v>
      </c>
      <c r="T71" s="107">
        <f t="shared" si="17"/>
        <v>6843.542743014117</v>
      </c>
      <c r="U71" s="107">
        <f t="shared" si="17"/>
        <v>7750.955276078352</v>
      </c>
      <c r="V71" s="107">
        <f t="shared" si="17"/>
        <v>8668.507034666656</v>
      </c>
      <c r="W71" s="107">
        <f t="shared" si="17"/>
        <v>9594.784498410545</v>
      </c>
      <c r="X71" s="107">
        <f>+X67-X69</f>
        <v>16375.497199319472</v>
      </c>
      <c r="Y71" s="107">
        <f t="shared" si="17"/>
        <v>110672.46074302131</v>
      </c>
    </row>
    <row r="74" ht="15.75">
      <c r="A74" s="29" t="s">
        <v>208</v>
      </c>
    </row>
    <row r="76" ht="12.75">
      <c r="A76" s="104" t="s">
        <v>209</v>
      </c>
    </row>
    <row r="77" ht="7.5" customHeight="1"/>
    <row r="78" spans="1:25" ht="12.75">
      <c r="A78" s="3" t="s">
        <v>200</v>
      </c>
      <c r="C78" s="105">
        <f>+'Robert Smyth'!C13</f>
        <v>172600</v>
      </c>
      <c r="D78" s="105">
        <f>+C78</f>
        <v>172600</v>
      </c>
      <c r="E78" s="105">
        <f aca="true" t="shared" si="18" ref="E78:W78">+D78</f>
        <v>172600</v>
      </c>
      <c r="F78" s="105">
        <f t="shared" si="18"/>
        <v>172600</v>
      </c>
      <c r="G78" s="105">
        <f t="shared" si="18"/>
        <v>172600</v>
      </c>
      <c r="H78" s="105">
        <f t="shared" si="18"/>
        <v>172600</v>
      </c>
      <c r="I78" s="105">
        <f t="shared" si="18"/>
        <v>172600</v>
      </c>
      <c r="J78" s="105">
        <f t="shared" si="18"/>
        <v>172600</v>
      </c>
      <c r="K78" s="105">
        <f t="shared" si="18"/>
        <v>172600</v>
      </c>
      <c r="L78" s="105">
        <f t="shared" si="18"/>
        <v>172600</v>
      </c>
      <c r="M78" s="105">
        <f t="shared" si="18"/>
        <v>172600</v>
      </c>
      <c r="N78" s="105">
        <f t="shared" si="18"/>
        <v>172600</v>
      </c>
      <c r="O78" s="105">
        <f t="shared" si="18"/>
        <v>172600</v>
      </c>
      <c r="P78" s="105">
        <f t="shared" si="18"/>
        <v>172600</v>
      </c>
      <c r="Q78" s="105">
        <f t="shared" si="18"/>
        <v>172600</v>
      </c>
      <c r="R78" s="105">
        <f t="shared" si="18"/>
        <v>172600</v>
      </c>
      <c r="S78" s="105">
        <f t="shared" si="18"/>
        <v>172600</v>
      </c>
      <c r="T78" s="105">
        <f t="shared" si="18"/>
        <v>172600</v>
      </c>
      <c r="U78" s="105">
        <f t="shared" si="18"/>
        <v>172600</v>
      </c>
      <c r="V78" s="105">
        <f t="shared" si="18"/>
        <v>172600</v>
      </c>
      <c r="W78" s="105">
        <f t="shared" si="18"/>
        <v>172600</v>
      </c>
      <c r="Y78" s="105"/>
    </row>
    <row r="79" spans="1:25" ht="12.75">
      <c r="A79" s="3" t="s">
        <v>201</v>
      </c>
      <c r="C79" s="105">
        <f>+'Archway House'!C13</f>
        <v>11000</v>
      </c>
      <c r="D79" s="105">
        <f>+C79</f>
        <v>11000</v>
      </c>
      <c r="E79" s="105">
        <f aca="true" t="shared" si="19" ref="E79:W79">+D79</f>
        <v>11000</v>
      </c>
      <c r="F79" s="105">
        <f t="shared" si="19"/>
        <v>11000</v>
      </c>
      <c r="G79" s="105">
        <f t="shared" si="19"/>
        <v>11000</v>
      </c>
      <c r="H79" s="105">
        <f t="shared" si="19"/>
        <v>11000</v>
      </c>
      <c r="I79" s="105">
        <f t="shared" si="19"/>
        <v>11000</v>
      </c>
      <c r="J79" s="105">
        <f t="shared" si="19"/>
        <v>11000</v>
      </c>
      <c r="K79" s="105">
        <f t="shared" si="19"/>
        <v>11000</v>
      </c>
      <c r="L79" s="105">
        <f t="shared" si="19"/>
        <v>11000</v>
      </c>
      <c r="M79" s="105">
        <f t="shared" si="19"/>
        <v>11000</v>
      </c>
      <c r="N79" s="105">
        <f t="shared" si="19"/>
        <v>11000</v>
      </c>
      <c r="O79" s="105">
        <f t="shared" si="19"/>
        <v>11000</v>
      </c>
      <c r="P79" s="105">
        <f t="shared" si="19"/>
        <v>11000</v>
      </c>
      <c r="Q79" s="105">
        <f t="shared" si="19"/>
        <v>11000</v>
      </c>
      <c r="R79" s="105">
        <f t="shared" si="19"/>
        <v>11000</v>
      </c>
      <c r="S79" s="105">
        <f t="shared" si="19"/>
        <v>11000</v>
      </c>
      <c r="T79" s="105">
        <f t="shared" si="19"/>
        <v>11000</v>
      </c>
      <c r="U79" s="105">
        <f t="shared" si="19"/>
        <v>11000</v>
      </c>
      <c r="V79" s="105">
        <f t="shared" si="19"/>
        <v>11000</v>
      </c>
      <c r="W79" s="105">
        <f t="shared" si="19"/>
        <v>11000</v>
      </c>
      <c r="Y79" s="105"/>
    </row>
    <row r="80" spans="1:25" ht="12.75">
      <c r="A80" s="3" t="s">
        <v>244</v>
      </c>
      <c r="Q80" s="105">
        <v>22032</v>
      </c>
      <c r="R80" s="105">
        <v>22032</v>
      </c>
      <c r="S80" s="105">
        <v>22032</v>
      </c>
      <c r="T80" s="105">
        <v>22032</v>
      </c>
      <c r="U80" s="105">
        <v>22032</v>
      </c>
      <c r="V80" s="105">
        <v>22032</v>
      </c>
      <c r="W80" s="105">
        <v>22032</v>
      </c>
      <c r="Y80" s="105"/>
    </row>
    <row r="81" spans="1:24" ht="7.5" customHeight="1">
      <c r="A81" s="12"/>
      <c r="B81" s="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5" s="1" customFormat="1" ht="12.75">
      <c r="A82" s="1" t="s">
        <v>210</v>
      </c>
      <c r="C82" s="107">
        <f>SUM(C78:C81)</f>
        <v>183600</v>
      </c>
      <c r="D82" s="107">
        <f aca="true" t="shared" si="20" ref="D82:W82">SUM(D78:D81)</f>
        <v>183600</v>
      </c>
      <c r="E82" s="107">
        <f t="shared" si="20"/>
        <v>183600</v>
      </c>
      <c r="F82" s="107">
        <f t="shared" si="20"/>
        <v>183600</v>
      </c>
      <c r="G82" s="107">
        <f t="shared" si="20"/>
        <v>183600</v>
      </c>
      <c r="H82" s="107">
        <f t="shared" si="20"/>
        <v>183600</v>
      </c>
      <c r="I82" s="107">
        <f t="shared" si="20"/>
        <v>183600</v>
      </c>
      <c r="J82" s="107">
        <f t="shared" si="20"/>
        <v>183600</v>
      </c>
      <c r="K82" s="107">
        <f t="shared" si="20"/>
        <v>183600</v>
      </c>
      <c r="L82" s="107">
        <f t="shared" si="20"/>
        <v>183600</v>
      </c>
      <c r="M82" s="107">
        <f t="shared" si="20"/>
        <v>183600</v>
      </c>
      <c r="N82" s="107">
        <f t="shared" si="20"/>
        <v>183600</v>
      </c>
      <c r="O82" s="107">
        <f t="shared" si="20"/>
        <v>183600</v>
      </c>
      <c r="P82" s="107">
        <f t="shared" si="20"/>
        <v>183600</v>
      </c>
      <c r="Q82" s="107">
        <f t="shared" si="20"/>
        <v>205632</v>
      </c>
      <c r="R82" s="107">
        <f t="shared" si="20"/>
        <v>205632</v>
      </c>
      <c r="S82" s="107">
        <f t="shared" si="20"/>
        <v>205632</v>
      </c>
      <c r="T82" s="107">
        <f t="shared" si="20"/>
        <v>205632</v>
      </c>
      <c r="U82" s="107">
        <f t="shared" si="20"/>
        <v>205632</v>
      </c>
      <c r="V82" s="107">
        <f t="shared" si="20"/>
        <v>205632</v>
      </c>
      <c r="W82" s="107">
        <f t="shared" si="20"/>
        <v>205632</v>
      </c>
      <c r="X82" s="107"/>
      <c r="Y82" s="107"/>
    </row>
    <row r="84" spans="1:25" ht="12.75">
      <c r="A84" s="3" t="s">
        <v>179</v>
      </c>
      <c r="C84" s="105">
        <f>+C56</f>
        <v>0</v>
      </c>
      <c r="D84" s="105">
        <f>+D56+C84</f>
        <v>9180</v>
      </c>
      <c r="E84" s="105">
        <f aca="true" t="shared" si="21" ref="E84:W84">+E56+D84</f>
        <v>18360</v>
      </c>
      <c r="F84" s="105">
        <f t="shared" si="21"/>
        <v>27540</v>
      </c>
      <c r="G84" s="105">
        <f t="shared" si="21"/>
        <v>36720</v>
      </c>
      <c r="H84" s="105">
        <f t="shared" si="21"/>
        <v>45900</v>
      </c>
      <c r="I84" s="105">
        <f t="shared" si="21"/>
        <v>55080</v>
      </c>
      <c r="J84" s="105">
        <f t="shared" si="21"/>
        <v>64260</v>
      </c>
      <c r="K84" s="105">
        <f t="shared" si="21"/>
        <v>73440</v>
      </c>
      <c r="L84" s="105">
        <f t="shared" si="21"/>
        <v>82620</v>
      </c>
      <c r="M84" s="105">
        <f t="shared" si="21"/>
        <v>91800</v>
      </c>
      <c r="N84" s="105">
        <f t="shared" si="21"/>
        <v>100980</v>
      </c>
      <c r="O84" s="105">
        <f t="shared" si="21"/>
        <v>110160</v>
      </c>
      <c r="P84" s="105">
        <f t="shared" si="21"/>
        <v>119340</v>
      </c>
      <c r="Q84" s="105">
        <f t="shared" si="21"/>
        <v>128520</v>
      </c>
      <c r="R84" s="105">
        <f t="shared" si="21"/>
        <v>141372</v>
      </c>
      <c r="S84" s="105">
        <f t="shared" si="21"/>
        <v>154224</v>
      </c>
      <c r="T84" s="105">
        <f t="shared" si="21"/>
        <v>167076</v>
      </c>
      <c r="U84" s="105">
        <f t="shared" si="21"/>
        <v>179928</v>
      </c>
      <c r="V84" s="105">
        <f t="shared" si="21"/>
        <v>192780</v>
      </c>
      <c r="W84" s="105">
        <f t="shared" si="21"/>
        <v>205632</v>
      </c>
      <c r="Y84" s="105"/>
    </row>
    <row r="86" spans="1:25" s="1" customFormat="1" ht="12.75">
      <c r="A86" s="1" t="s">
        <v>211</v>
      </c>
      <c r="C86" s="107">
        <f>+C82-C84</f>
        <v>183600</v>
      </c>
      <c r="D86" s="107">
        <f aca="true" t="shared" si="22" ref="D86:W86">+D82-D84</f>
        <v>174420</v>
      </c>
      <c r="E86" s="107">
        <f t="shared" si="22"/>
        <v>165240</v>
      </c>
      <c r="F86" s="107">
        <f t="shared" si="22"/>
        <v>156060</v>
      </c>
      <c r="G86" s="107">
        <f t="shared" si="22"/>
        <v>146880</v>
      </c>
      <c r="H86" s="107">
        <f t="shared" si="22"/>
        <v>137700</v>
      </c>
      <c r="I86" s="107">
        <f t="shared" si="22"/>
        <v>128520</v>
      </c>
      <c r="J86" s="107">
        <f t="shared" si="22"/>
        <v>119340</v>
      </c>
      <c r="K86" s="107">
        <f t="shared" si="22"/>
        <v>110160</v>
      </c>
      <c r="L86" s="107">
        <f t="shared" si="22"/>
        <v>100980</v>
      </c>
      <c r="M86" s="107">
        <f t="shared" si="22"/>
        <v>91800</v>
      </c>
      <c r="N86" s="107">
        <f t="shared" si="22"/>
        <v>82620</v>
      </c>
      <c r="O86" s="107">
        <f t="shared" si="22"/>
        <v>73440</v>
      </c>
      <c r="P86" s="107">
        <f t="shared" si="22"/>
        <v>64260</v>
      </c>
      <c r="Q86" s="107">
        <f t="shared" si="22"/>
        <v>77112</v>
      </c>
      <c r="R86" s="107">
        <f t="shared" si="22"/>
        <v>64260</v>
      </c>
      <c r="S86" s="107">
        <f t="shared" si="22"/>
        <v>51408</v>
      </c>
      <c r="T86" s="107">
        <f t="shared" si="22"/>
        <v>38556</v>
      </c>
      <c r="U86" s="107">
        <f t="shared" si="22"/>
        <v>25704</v>
      </c>
      <c r="V86" s="107">
        <f t="shared" si="22"/>
        <v>12852</v>
      </c>
      <c r="W86" s="107">
        <f t="shared" si="22"/>
        <v>0</v>
      </c>
      <c r="X86" s="107"/>
      <c r="Y86" s="107"/>
    </row>
    <row r="88" ht="12.75">
      <c r="A88" s="104" t="s">
        <v>212</v>
      </c>
    </row>
    <row r="89" ht="7.5" customHeight="1"/>
    <row r="90" spans="1:23" ht="12.75">
      <c r="A90" s="3" t="s">
        <v>213</v>
      </c>
      <c r="C90" s="105">
        <v>0</v>
      </c>
      <c r="D90" s="105">
        <v>-10160.354499999987</v>
      </c>
      <c r="E90" s="105">
        <v>-7318.760515462491</v>
      </c>
      <c r="F90" s="105">
        <v>-5033.422607943125</v>
      </c>
      <c r="G90" s="105">
        <v>-2297.3117711969244</v>
      </c>
      <c r="H90" s="105">
        <v>899.8168113737192</v>
      </c>
      <c r="I90" s="105">
        <v>4568.465919224749</v>
      </c>
      <c r="J90" s="105">
        <v>9256.35834887877</v>
      </c>
      <c r="K90" s="105">
        <v>14744.45886113272</v>
      </c>
      <c r="L90" s="105">
        <v>21282.97601208926</v>
      </c>
      <c r="M90" s="105">
        <v>28871.343858340624</v>
      </c>
      <c r="N90" s="105">
        <v>37518.263526115654</v>
      </c>
      <c r="O90" s="105">
        <v>47235.66463365797</v>
      </c>
      <c r="P90" s="105">
        <v>58034.72655553614</v>
      </c>
      <c r="Q90" s="105">
        <v>70156.8695169921</v>
      </c>
      <c r="R90" s="105">
        <v>76764.19160241501</v>
      </c>
      <c r="S90" s="105">
        <v>82944.58588740186</v>
      </c>
      <c r="T90" s="105">
        <v>90027.09961961927</v>
      </c>
      <c r="U90" s="105">
        <v>98019.90802896369</v>
      </c>
      <c r="V90" s="105">
        <v>106932.80300327743</v>
      </c>
      <c r="W90" s="105">
        <v>116774.15686762394</v>
      </c>
    </row>
    <row r="91" spans="1:23" ht="12.75">
      <c r="A91" s="3" t="s">
        <v>224</v>
      </c>
      <c r="C91" s="105">
        <f>IF(VAT!B30&gt;0,VAT!B30,0)</f>
        <v>0</v>
      </c>
      <c r="D91" s="105">
        <f>IF(VAT!C30&gt;0,VAT!C30,0)</f>
        <v>740</v>
      </c>
      <c r="E91" s="105">
        <f>IF(VAT!D30&gt;0,VAT!D30,0)</f>
        <v>0</v>
      </c>
      <c r="F91" s="105">
        <f>IF(VAT!E30&gt;0,VAT!E30,0)</f>
        <v>0</v>
      </c>
      <c r="G91" s="105">
        <f>IF(VAT!F30&gt;0,VAT!F30,0)</f>
        <v>0</v>
      </c>
      <c r="H91" s="105">
        <f>IF(VAT!G30&gt;0,VAT!G30,0)</f>
        <v>0</v>
      </c>
      <c r="I91" s="105">
        <f>IF(VAT!H30&gt;0,VAT!H30,0)</f>
        <v>0</v>
      </c>
      <c r="J91" s="105">
        <f>IF(VAT!I30&gt;0,VAT!I30,0)</f>
        <v>0</v>
      </c>
      <c r="K91" s="105">
        <f>IF(VAT!J30&gt;0,VAT!J30,0)</f>
        <v>0</v>
      </c>
      <c r="L91" s="105">
        <f>IF(VAT!K30&gt;0,VAT!K30,0)</f>
        <v>0</v>
      </c>
      <c r="M91" s="105">
        <f>IF(VAT!L30&gt;0,VAT!L30,0)</f>
        <v>0</v>
      </c>
      <c r="N91" s="105">
        <f>IF(VAT!M30&gt;0,VAT!M30,0)</f>
        <v>0</v>
      </c>
      <c r="O91" s="105">
        <f>IF(VAT!N30&gt;0,VAT!N30,0)</f>
        <v>0</v>
      </c>
      <c r="P91" s="105">
        <f>IF(VAT!O30&gt;0,VAT!O30,0)</f>
        <v>0</v>
      </c>
      <c r="Q91" s="105">
        <f>IF(VAT!P30&gt;0,VAT!P30,0)</f>
        <v>0</v>
      </c>
      <c r="R91" s="105">
        <f>IF(VAT!Q30&gt;0,VAT!Q30,0)</f>
        <v>0</v>
      </c>
      <c r="S91" s="105">
        <f>IF(VAT!R30&gt;0,VAT!R30,0)</f>
        <v>0</v>
      </c>
      <c r="T91" s="105">
        <f>IF(VAT!S30&gt;0,VAT!S30,0)</f>
        <v>0</v>
      </c>
      <c r="U91" s="105">
        <f>IF(VAT!T30&gt;0,VAT!T30,0)</f>
        <v>0</v>
      </c>
      <c r="V91" s="105">
        <f>IF(VAT!U30&gt;0,VAT!U30,0)</f>
        <v>0</v>
      </c>
      <c r="W91" s="105">
        <f>IF(VAT!V30&gt;0,VAT!V30,0)</f>
        <v>0</v>
      </c>
    </row>
    <row r="92" ht="7.5" customHeight="1"/>
    <row r="93" spans="1:25" s="1" customFormat="1" ht="12.75">
      <c r="A93" s="1" t="s">
        <v>214</v>
      </c>
      <c r="C93" s="107">
        <f>SUM(C90:C92)</f>
        <v>0</v>
      </c>
      <c r="D93" s="107">
        <f aca="true" t="shared" si="23" ref="D93:W93">SUM(D90:D92)</f>
        <v>-9420.354499999987</v>
      </c>
      <c r="E93" s="107">
        <f t="shared" si="23"/>
        <v>-7318.760515462491</v>
      </c>
      <c r="F93" s="107">
        <f t="shared" si="23"/>
        <v>-5033.422607943125</v>
      </c>
      <c r="G93" s="107">
        <f t="shared" si="23"/>
        <v>-2297.3117711969244</v>
      </c>
      <c r="H93" s="107">
        <f t="shared" si="23"/>
        <v>899.8168113737192</v>
      </c>
      <c r="I93" s="107">
        <f t="shared" si="23"/>
        <v>4568.465919224749</v>
      </c>
      <c r="J93" s="107">
        <f t="shared" si="23"/>
        <v>9256.35834887877</v>
      </c>
      <c r="K93" s="107">
        <f t="shared" si="23"/>
        <v>14744.45886113272</v>
      </c>
      <c r="L93" s="107">
        <f t="shared" si="23"/>
        <v>21282.97601208926</v>
      </c>
      <c r="M93" s="107">
        <f t="shared" si="23"/>
        <v>28871.343858340624</v>
      </c>
      <c r="N93" s="107">
        <f t="shared" si="23"/>
        <v>37518.263526115654</v>
      </c>
      <c r="O93" s="107">
        <f t="shared" si="23"/>
        <v>47235.66463365797</v>
      </c>
      <c r="P93" s="107">
        <f t="shared" si="23"/>
        <v>58034.72655553614</v>
      </c>
      <c r="Q93" s="107">
        <f t="shared" si="23"/>
        <v>70156.8695169921</v>
      </c>
      <c r="R93" s="107">
        <f t="shared" si="23"/>
        <v>76764.19160241501</v>
      </c>
      <c r="S93" s="107">
        <f t="shared" si="23"/>
        <v>82944.58588740186</v>
      </c>
      <c r="T93" s="107">
        <f t="shared" si="23"/>
        <v>90027.09961961927</v>
      </c>
      <c r="U93" s="107">
        <f t="shared" si="23"/>
        <v>98019.90802896369</v>
      </c>
      <c r="V93" s="107">
        <f t="shared" si="23"/>
        <v>106932.80300327743</v>
      </c>
      <c r="W93" s="107">
        <f t="shared" si="23"/>
        <v>116774.15686762394</v>
      </c>
      <c r="X93" s="107"/>
      <c r="Y93" s="107"/>
    </row>
    <row r="95" ht="12.75">
      <c r="A95" s="104" t="s">
        <v>215</v>
      </c>
    </row>
    <row r="96" ht="7.5" customHeight="1"/>
    <row r="97" spans="1:25" ht="12.75">
      <c r="A97" s="3" t="s">
        <v>194</v>
      </c>
      <c r="C97" s="105">
        <f>+C69</f>
        <v>0</v>
      </c>
      <c r="D97" s="105">
        <f aca="true" t="shared" si="24" ref="D97:W97">+D69</f>
        <v>0</v>
      </c>
      <c r="E97" s="105">
        <f>+E69</f>
        <v>0</v>
      </c>
      <c r="F97" s="105">
        <f t="shared" si="24"/>
        <v>0</v>
      </c>
      <c r="G97" s="105">
        <f t="shared" si="24"/>
        <v>0</v>
      </c>
      <c r="H97" s="105">
        <f t="shared" si="24"/>
        <v>0</v>
      </c>
      <c r="I97" s="105">
        <f t="shared" si="24"/>
        <v>0</v>
      </c>
      <c r="J97" s="105">
        <f t="shared" si="24"/>
        <v>0</v>
      </c>
      <c r="K97" s="105">
        <f t="shared" si="24"/>
        <v>0</v>
      </c>
      <c r="L97" s="105">
        <f t="shared" si="24"/>
        <v>0</v>
      </c>
      <c r="M97" s="105">
        <f t="shared" si="24"/>
        <v>0</v>
      </c>
      <c r="N97" s="105">
        <f t="shared" si="24"/>
        <v>0</v>
      </c>
      <c r="O97" s="105">
        <f t="shared" si="24"/>
        <v>0</v>
      </c>
      <c r="P97" s="105">
        <f t="shared" si="24"/>
        <v>0</v>
      </c>
      <c r="Q97" s="105">
        <f t="shared" si="24"/>
        <v>2934.573903398416</v>
      </c>
      <c r="R97" s="105">
        <f t="shared" si="24"/>
        <v>4476.17919776427</v>
      </c>
      <c r="S97" s="105">
        <f t="shared" si="24"/>
        <v>4698.914696550222</v>
      </c>
      <c r="T97" s="105">
        <f t="shared" si="24"/>
        <v>4923.885685753532</v>
      </c>
      <c r="U97" s="105">
        <f t="shared" si="24"/>
        <v>5150.738819019585</v>
      </c>
      <c r="V97" s="105">
        <f t="shared" si="24"/>
        <v>5380.126758666665</v>
      </c>
      <c r="W97" s="105">
        <f t="shared" si="24"/>
        <v>5611.696124602637</v>
      </c>
      <c r="Y97" s="105"/>
    </row>
    <row r="98" spans="1:25" ht="12.75">
      <c r="A98" s="3" t="s">
        <v>224</v>
      </c>
      <c r="C98" s="105">
        <f>IF(VAT!B30&lt;0,-VAT!B30,0)</f>
        <v>0</v>
      </c>
      <c r="D98" s="105">
        <f>IF(VAT!C30&lt;0,-VAT!C30,0)</f>
        <v>0</v>
      </c>
      <c r="E98" s="105">
        <f>IF(VAT!D30&lt;0,-VAT!D30,0)</f>
        <v>269</v>
      </c>
      <c r="F98" s="105">
        <f>IF(VAT!E30&lt;0,-VAT!E30,0)</f>
        <v>279</v>
      </c>
      <c r="G98" s="105">
        <f>IF(VAT!F30&lt;0,-VAT!F30,0)</f>
        <v>289</v>
      </c>
      <c r="H98" s="105">
        <f>IF(VAT!G30&lt;0,-VAT!G30,0)</f>
        <v>299</v>
      </c>
      <c r="I98" s="105">
        <f>IF(VAT!H30&lt;0,-VAT!H30,0)</f>
        <v>310</v>
      </c>
      <c r="J98" s="105">
        <f>IF(VAT!I30&lt;0,-VAT!I30,0)</f>
        <v>320</v>
      </c>
      <c r="K98" s="105">
        <f>IF(VAT!J30&lt;0,-VAT!J30,0)</f>
        <v>320</v>
      </c>
      <c r="L98" s="105">
        <f>IF(VAT!K30&lt;0,-VAT!K30,0)</f>
        <v>331</v>
      </c>
      <c r="M98" s="105">
        <f>IF(VAT!L30&lt;0,-VAT!L30,0)</f>
        <v>343</v>
      </c>
      <c r="N98" s="105">
        <f>IF(VAT!M30&lt;0,-VAT!M30,0)</f>
        <v>355</v>
      </c>
      <c r="O98" s="105">
        <f>IF(VAT!N30&lt;0,-VAT!N30,0)</f>
        <v>367</v>
      </c>
      <c r="P98" s="105">
        <f>IF(VAT!O30&lt;0,-VAT!O30,0)</f>
        <v>380</v>
      </c>
      <c r="Q98" s="105">
        <f>IF(VAT!P30&lt;0,-VAT!P30,0)</f>
        <v>404</v>
      </c>
      <c r="R98" s="105">
        <f>IF(VAT!Q30&lt;0,-VAT!Q30,0)</f>
        <v>417</v>
      </c>
      <c r="S98" s="105">
        <f>IF(VAT!R30&lt;0,-VAT!R30,0)</f>
        <v>431</v>
      </c>
      <c r="T98" s="105">
        <f>IF(VAT!S30&lt;0,-VAT!S30,0)</f>
        <v>445</v>
      </c>
      <c r="U98" s="105">
        <f>IF(VAT!T30&lt;0,-VAT!T30,0)</f>
        <v>460</v>
      </c>
      <c r="V98" s="105">
        <f>IF(VAT!U30&lt;0,-VAT!U30,0)</f>
        <v>475</v>
      </c>
      <c r="W98" s="105">
        <f>IF(VAT!V30&lt;0,-VAT!V30,0)</f>
        <v>490</v>
      </c>
      <c r="Y98" s="105"/>
    </row>
    <row r="100" ht="7.5" customHeight="1"/>
    <row r="101" spans="1:24" s="1" customFormat="1" ht="12.75">
      <c r="A101" s="1" t="s">
        <v>218</v>
      </c>
      <c r="C101" s="107">
        <f>SUM(C97:C100)</f>
        <v>0</v>
      </c>
      <c r="D101" s="107">
        <f aca="true" t="shared" si="25" ref="D101:W101">SUM(D97:D100)</f>
        <v>0</v>
      </c>
      <c r="E101" s="107">
        <f t="shared" si="25"/>
        <v>269</v>
      </c>
      <c r="F101" s="107">
        <f t="shared" si="25"/>
        <v>279</v>
      </c>
      <c r="G101" s="107">
        <f t="shared" si="25"/>
        <v>289</v>
      </c>
      <c r="H101" s="107">
        <f t="shared" si="25"/>
        <v>299</v>
      </c>
      <c r="I101" s="107">
        <f t="shared" si="25"/>
        <v>310</v>
      </c>
      <c r="J101" s="107">
        <f t="shared" si="25"/>
        <v>320</v>
      </c>
      <c r="K101" s="107">
        <f t="shared" si="25"/>
        <v>320</v>
      </c>
      <c r="L101" s="107">
        <f t="shared" si="25"/>
        <v>331</v>
      </c>
      <c r="M101" s="107">
        <f t="shared" si="25"/>
        <v>343</v>
      </c>
      <c r="N101" s="107">
        <f t="shared" si="25"/>
        <v>355</v>
      </c>
      <c r="O101" s="107">
        <f t="shared" si="25"/>
        <v>367</v>
      </c>
      <c r="P101" s="107">
        <f t="shared" si="25"/>
        <v>380</v>
      </c>
      <c r="Q101" s="107">
        <f t="shared" si="25"/>
        <v>3338.573903398416</v>
      </c>
      <c r="R101" s="107">
        <f t="shared" si="25"/>
        <v>4893.17919776427</v>
      </c>
      <c r="S101" s="107">
        <f t="shared" si="25"/>
        <v>5129.914696550222</v>
      </c>
      <c r="T101" s="107">
        <f t="shared" si="25"/>
        <v>5368.885685753532</v>
      </c>
      <c r="U101" s="107">
        <f t="shared" si="25"/>
        <v>5610.738819019585</v>
      </c>
      <c r="V101" s="107">
        <f t="shared" si="25"/>
        <v>5855.126758666665</v>
      </c>
      <c r="W101" s="107">
        <f t="shared" si="25"/>
        <v>6101.696124602637</v>
      </c>
      <c r="X101" s="107"/>
    </row>
    <row r="103" spans="1:24" s="1" customFormat="1" ht="12.75">
      <c r="A103" s="1" t="s">
        <v>219</v>
      </c>
      <c r="C103" s="107">
        <f>+C86+C93-C101</f>
        <v>183600</v>
      </c>
      <c r="D103" s="107">
        <f aca="true" t="shared" si="26" ref="D103:W103">+D86+D93-D101</f>
        <v>164999.6455</v>
      </c>
      <c r="E103" s="107">
        <f t="shared" si="26"/>
        <v>157652.2394845375</v>
      </c>
      <c r="F103" s="107">
        <f t="shared" si="26"/>
        <v>150747.57739205688</v>
      </c>
      <c r="G103" s="107">
        <f t="shared" si="26"/>
        <v>144293.68822880308</v>
      </c>
      <c r="H103" s="107">
        <f t="shared" si="26"/>
        <v>138300.81681137372</v>
      </c>
      <c r="I103" s="107">
        <f t="shared" si="26"/>
        <v>132778.46591922475</v>
      </c>
      <c r="J103" s="107">
        <f t="shared" si="26"/>
        <v>128276.35834887877</v>
      </c>
      <c r="K103" s="107">
        <f t="shared" si="26"/>
        <v>124584.45886113272</v>
      </c>
      <c r="L103" s="107">
        <f t="shared" si="26"/>
        <v>121931.97601208926</v>
      </c>
      <c r="M103" s="107">
        <f t="shared" si="26"/>
        <v>120328.34385834062</v>
      </c>
      <c r="N103" s="107">
        <f t="shared" si="26"/>
        <v>119783.26352611565</v>
      </c>
      <c r="O103" s="107">
        <f t="shared" si="26"/>
        <v>120308.66463365797</v>
      </c>
      <c r="P103" s="107">
        <f t="shared" si="26"/>
        <v>121914.72655553614</v>
      </c>
      <c r="Q103" s="107">
        <f t="shared" si="26"/>
        <v>143930.29561359368</v>
      </c>
      <c r="R103" s="107">
        <f t="shared" si="26"/>
        <v>136131.01240465074</v>
      </c>
      <c r="S103" s="107">
        <f t="shared" si="26"/>
        <v>129222.67119085163</v>
      </c>
      <c r="T103" s="107">
        <f t="shared" si="26"/>
        <v>123214.21393386574</v>
      </c>
      <c r="U103" s="107">
        <f t="shared" si="26"/>
        <v>118113.16920994411</v>
      </c>
      <c r="V103" s="107">
        <f t="shared" si="26"/>
        <v>113929.67624461076</v>
      </c>
      <c r="W103" s="107">
        <f t="shared" si="26"/>
        <v>110672.46074302131</v>
      </c>
      <c r="X103" s="107"/>
    </row>
    <row r="105" spans="1:24" s="1" customFormat="1" ht="12.75">
      <c r="A105" s="35" t="s">
        <v>220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</row>
    <row r="107" spans="1:23" ht="12.75">
      <c r="A107" s="3" t="s">
        <v>222</v>
      </c>
      <c r="C107" s="105">
        <f>+C71</f>
        <v>0</v>
      </c>
      <c r="D107" s="105">
        <f>+D71+C107</f>
        <v>-9420.354499999998</v>
      </c>
      <c r="E107" s="105">
        <f aca="true" t="shared" si="27" ref="E107:W107">+E71+D107</f>
        <v>-7587.760515462498</v>
      </c>
      <c r="F107" s="105">
        <f t="shared" si="27"/>
        <v>-5312.422607943121</v>
      </c>
      <c r="G107" s="105">
        <f t="shared" si="27"/>
        <v>-2586.3117711969207</v>
      </c>
      <c r="H107" s="105">
        <f t="shared" si="27"/>
        <v>600.8168113737083</v>
      </c>
      <c r="I107" s="105">
        <f t="shared" si="27"/>
        <v>4258.465919224745</v>
      </c>
      <c r="J107" s="105">
        <f t="shared" si="27"/>
        <v>8936.35834887877</v>
      </c>
      <c r="K107" s="105">
        <f t="shared" si="27"/>
        <v>14424.458861132716</v>
      </c>
      <c r="L107" s="105">
        <f t="shared" si="27"/>
        <v>20951.976012089253</v>
      </c>
      <c r="M107" s="105">
        <f t="shared" si="27"/>
        <v>28528.343858340624</v>
      </c>
      <c r="N107" s="105">
        <f t="shared" si="27"/>
        <v>37163.263526115654</v>
      </c>
      <c r="O107" s="105">
        <f t="shared" si="27"/>
        <v>46868.66463365797</v>
      </c>
      <c r="P107" s="105">
        <f t="shared" si="27"/>
        <v>57654.72655553614</v>
      </c>
      <c r="Q107" s="105">
        <f t="shared" si="27"/>
        <v>66818.29561359368</v>
      </c>
      <c r="R107" s="105">
        <f t="shared" si="27"/>
        <v>71871.01240465076</v>
      </c>
      <c r="S107" s="105">
        <f t="shared" si="27"/>
        <v>77814.67119085163</v>
      </c>
      <c r="T107" s="105">
        <f t="shared" si="27"/>
        <v>84658.21393386574</v>
      </c>
      <c r="U107" s="105">
        <f t="shared" si="27"/>
        <v>92409.1692099441</v>
      </c>
      <c r="V107" s="105">
        <f t="shared" si="27"/>
        <v>101077.67624461076</v>
      </c>
      <c r="W107" s="105">
        <f t="shared" si="27"/>
        <v>110672.46074302131</v>
      </c>
    </row>
    <row r="108" spans="1:24" ht="12.75">
      <c r="A108" s="112" t="s">
        <v>243</v>
      </c>
      <c r="B108" s="12"/>
      <c r="C108" s="113">
        <f aca="true" t="shared" si="28" ref="C108:W108">+C86</f>
        <v>183600</v>
      </c>
      <c r="D108" s="113">
        <f t="shared" si="28"/>
        <v>174420</v>
      </c>
      <c r="E108" s="113">
        <f t="shared" si="28"/>
        <v>165240</v>
      </c>
      <c r="F108" s="113">
        <f t="shared" si="28"/>
        <v>156060</v>
      </c>
      <c r="G108" s="113">
        <f t="shared" si="28"/>
        <v>146880</v>
      </c>
      <c r="H108" s="113">
        <f t="shared" si="28"/>
        <v>137700</v>
      </c>
      <c r="I108" s="113">
        <f t="shared" si="28"/>
        <v>128520</v>
      </c>
      <c r="J108" s="113">
        <f t="shared" si="28"/>
        <v>119340</v>
      </c>
      <c r="K108" s="113">
        <f t="shared" si="28"/>
        <v>110160</v>
      </c>
      <c r="L108" s="113">
        <f t="shared" si="28"/>
        <v>100980</v>
      </c>
      <c r="M108" s="113">
        <f t="shared" si="28"/>
        <v>91800</v>
      </c>
      <c r="N108" s="113">
        <f t="shared" si="28"/>
        <v>82620</v>
      </c>
      <c r="O108" s="113">
        <f t="shared" si="28"/>
        <v>73440</v>
      </c>
      <c r="P108" s="113">
        <f t="shared" si="28"/>
        <v>64260</v>
      </c>
      <c r="Q108" s="113">
        <f t="shared" si="28"/>
        <v>77112</v>
      </c>
      <c r="R108" s="113">
        <f t="shared" si="28"/>
        <v>64260</v>
      </c>
      <c r="S108" s="113">
        <f t="shared" si="28"/>
        <v>51408</v>
      </c>
      <c r="T108" s="113">
        <f t="shared" si="28"/>
        <v>38556</v>
      </c>
      <c r="U108" s="113">
        <f t="shared" si="28"/>
        <v>25704</v>
      </c>
      <c r="V108" s="113">
        <f t="shared" si="28"/>
        <v>12852</v>
      </c>
      <c r="W108" s="113">
        <f t="shared" si="28"/>
        <v>0</v>
      </c>
      <c r="X108" s="113"/>
    </row>
    <row r="109" spans="1:24" s="1" customFormat="1" ht="12.75">
      <c r="A109" s="1" t="s">
        <v>221</v>
      </c>
      <c r="C109" s="107">
        <f aca="true" t="shared" si="29" ref="C109:W109">SUM(C107:C108)</f>
        <v>183600</v>
      </c>
      <c r="D109" s="107">
        <f t="shared" si="29"/>
        <v>164999.6455</v>
      </c>
      <c r="E109" s="107">
        <f t="shared" si="29"/>
        <v>157652.2394845375</v>
      </c>
      <c r="F109" s="107">
        <f t="shared" si="29"/>
        <v>150747.57739205688</v>
      </c>
      <c r="G109" s="107">
        <f t="shared" si="29"/>
        <v>144293.68822880308</v>
      </c>
      <c r="H109" s="107">
        <f t="shared" si="29"/>
        <v>138300.81681137372</v>
      </c>
      <c r="I109" s="107">
        <f t="shared" si="29"/>
        <v>132778.46591922475</v>
      </c>
      <c r="J109" s="107">
        <f t="shared" si="29"/>
        <v>128276.35834887877</v>
      </c>
      <c r="K109" s="107">
        <f t="shared" si="29"/>
        <v>124584.45886113272</v>
      </c>
      <c r="L109" s="107">
        <f t="shared" si="29"/>
        <v>121931.97601208926</v>
      </c>
      <c r="M109" s="107">
        <f t="shared" si="29"/>
        <v>120328.34385834062</v>
      </c>
      <c r="N109" s="107">
        <f t="shared" si="29"/>
        <v>119783.26352611565</v>
      </c>
      <c r="O109" s="107">
        <f t="shared" si="29"/>
        <v>120308.66463365797</v>
      </c>
      <c r="P109" s="107">
        <f t="shared" si="29"/>
        <v>121914.72655553614</v>
      </c>
      <c r="Q109" s="107">
        <f t="shared" si="29"/>
        <v>143930.29561359368</v>
      </c>
      <c r="R109" s="107">
        <f t="shared" si="29"/>
        <v>136131.01240465074</v>
      </c>
      <c r="S109" s="107">
        <f t="shared" si="29"/>
        <v>129222.67119085163</v>
      </c>
      <c r="T109" s="107">
        <f t="shared" si="29"/>
        <v>123214.21393386574</v>
      </c>
      <c r="U109" s="107">
        <f t="shared" si="29"/>
        <v>118113.1692099441</v>
      </c>
      <c r="V109" s="107">
        <f t="shared" si="29"/>
        <v>113929.67624461076</v>
      </c>
      <c r="W109" s="107">
        <f t="shared" si="29"/>
        <v>110672.46074302131</v>
      </c>
      <c r="X109" s="107"/>
    </row>
    <row r="111" spans="1:23" ht="12.75">
      <c r="A111" s="3" t="s">
        <v>223</v>
      </c>
      <c r="C111" s="105">
        <f>+C103-C109</f>
        <v>0</v>
      </c>
      <c r="D111" s="105">
        <f aca="true" t="shared" si="30" ref="D111:W111">+D103-D109</f>
        <v>0</v>
      </c>
      <c r="E111" s="105">
        <f t="shared" si="30"/>
        <v>0</v>
      </c>
      <c r="F111" s="105">
        <f t="shared" si="30"/>
        <v>0</v>
      </c>
      <c r="G111" s="105">
        <f t="shared" si="30"/>
        <v>0</v>
      </c>
      <c r="H111" s="105">
        <f t="shared" si="30"/>
        <v>0</v>
      </c>
      <c r="I111" s="105">
        <f t="shared" si="30"/>
        <v>0</v>
      </c>
      <c r="J111" s="105">
        <f t="shared" si="30"/>
        <v>0</v>
      </c>
      <c r="K111" s="105">
        <f t="shared" si="30"/>
        <v>0</v>
      </c>
      <c r="L111" s="105">
        <f t="shared" si="30"/>
        <v>0</v>
      </c>
      <c r="M111" s="105">
        <f t="shared" si="30"/>
        <v>0</v>
      </c>
      <c r="N111" s="105">
        <f t="shared" si="30"/>
        <v>0</v>
      </c>
      <c r="O111" s="105">
        <f t="shared" si="30"/>
        <v>0</v>
      </c>
      <c r="P111" s="105">
        <f t="shared" si="30"/>
        <v>0</v>
      </c>
      <c r="Q111" s="105">
        <f t="shared" si="30"/>
        <v>0</v>
      </c>
      <c r="R111" s="105">
        <f t="shared" si="30"/>
        <v>0</v>
      </c>
      <c r="S111" s="105">
        <f t="shared" si="30"/>
        <v>0</v>
      </c>
      <c r="T111" s="105">
        <f t="shared" si="30"/>
        <v>0</v>
      </c>
      <c r="U111" s="105">
        <f t="shared" si="30"/>
        <v>0</v>
      </c>
      <c r="V111" s="105">
        <f t="shared" si="30"/>
        <v>0</v>
      </c>
      <c r="W111" s="105">
        <f t="shared" si="30"/>
        <v>0</v>
      </c>
    </row>
  </sheetData>
  <sheetProtection/>
  <printOptions/>
  <pageMargins left="0" right="0" top="0.3937007874015748" bottom="0" header="0.31496062992125984" footer="0.31496062992125984"/>
  <pageSetup fitToHeight="2" horizontalDpi="600" verticalDpi="600" orientation="landscape" paperSize="9" scale="64" r:id="rId1"/>
  <rowBreaks count="1" manualBreakCount="1">
    <brk id="7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30.421875" style="105" bestFit="1" customWidth="1"/>
    <col min="2" max="2" width="3.00390625" style="105" customWidth="1"/>
    <col min="3" max="16384" width="9.140625" style="105" customWidth="1"/>
  </cols>
  <sheetData>
    <row r="1" ht="12.75">
      <c r="A1" s="108" t="s">
        <v>195</v>
      </c>
    </row>
    <row r="3" spans="3:23" ht="12.75">
      <c r="C3" s="108" t="s">
        <v>159</v>
      </c>
      <c r="D3" s="108" t="s">
        <v>6</v>
      </c>
      <c r="E3" s="108" t="s">
        <v>7</v>
      </c>
      <c r="F3" s="108" t="s">
        <v>8</v>
      </c>
      <c r="G3" s="108" t="s">
        <v>9</v>
      </c>
      <c r="H3" s="108" t="s">
        <v>10</v>
      </c>
      <c r="I3" s="108" t="s">
        <v>11</v>
      </c>
      <c r="J3" s="108" t="s">
        <v>12</v>
      </c>
      <c r="K3" s="108" t="s">
        <v>13</v>
      </c>
      <c r="L3" s="108" t="s">
        <v>14</v>
      </c>
      <c r="M3" s="108" t="s">
        <v>15</v>
      </c>
      <c r="N3" s="108" t="s">
        <v>16</v>
      </c>
      <c r="O3" s="108" t="s">
        <v>17</v>
      </c>
      <c r="P3" s="108" t="s">
        <v>18</v>
      </c>
      <c r="Q3" s="108" t="s">
        <v>19</v>
      </c>
      <c r="R3" s="108" t="s">
        <v>20</v>
      </c>
      <c r="S3" s="108" t="s">
        <v>21</v>
      </c>
      <c r="T3" s="108" t="s">
        <v>22</v>
      </c>
      <c r="U3" s="108" t="s">
        <v>23</v>
      </c>
      <c r="V3" s="108" t="s">
        <v>24</v>
      </c>
      <c r="W3" s="108" t="s">
        <v>25</v>
      </c>
    </row>
    <row r="4" spans="3:23" ht="12.75"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</row>
    <row r="5" spans="1:23" ht="12.75">
      <c r="A5" s="108" t="s">
        <v>205</v>
      </c>
      <c r="C5" s="105">
        <f>+'Financial Statement Forecast'!C67</f>
        <v>0</v>
      </c>
      <c r="D5" s="105">
        <f>+'Financial Statement Forecast'!D67</f>
        <v>-9420.354499999998</v>
      </c>
      <c r="E5" s="105">
        <f>+'Financial Statement Forecast'!E67</f>
        <v>1832.5939845374996</v>
      </c>
      <c r="F5" s="105">
        <f>+'Financial Statement Forecast'!F67</f>
        <v>2275.337907519377</v>
      </c>
      <c r="G5" s="105">
        <f>+'Financial Statement Forecast'!G67</f>
        <v>2726.1108367462</v>
      </c>
      <c r="H5" s="105">
        <f>+'Financial Statement Forecast'!H67</f>
        <v>3187.128582570629</v>
      </c>
      <c r="I5" s="105">
        <f>+'Financial Statement Forecast'!I67</f>
        <v>3657.649107851037</v>
      </c>
      <c r="J5" s="105">
        <f>+'Financial Statement Forecast'!J67</f>
        <v>4677.892429654024</v>
      </c>
      <c r="K5" s="105">
        <f>+'Financial Statement Forecast'!K67</f>
        <v>5488.100512253946</v>
      </c>
      <c r="L5" s="105">
        <f>+'Financial Statement Forecast'!L67</f>
        <v>6527.517150956537</v>
      </c>
      <c r="M5" s="105">
        <f>+'Financial Statement Forecast'!M67</f>
        <v>7576.367846251371</v>
      </c>
      <c r="N5" s="105">
        <f>+'Financial Statement Forecast'!N67</f>
        <v>8634.919667775026</v>
      </c>
      <c r="O5" s="105">
        <f>+'Financial Statement Forecast'!O67</f>
        <v>9705.401107542322</v>
      </c>
      <c r="P5" s="105">
        <f>+'Financial Statement Forecast'!P67</f>
        <v>10786.061921878165</v>
      </c>
      <c r="Q5" s="105">
        <f>+'Financial Statement Forecast'!Q67</f>
        <v>12098.142961455967</v>
      </c>
      <c r="R5" s="105">
        <f>+'Financial Statement Forecast'!R67</f>
        <v>9528.895988821343</v>
      </c>
      <c r="S5" s="105">
        <f>+'Financial Statement Forecast'!S67</f>
        <v>10642.573482751104</v>
      </c>
      <c r="T5" s="105">
        <f>+'Financial Statement Forecast'!T67</f>
        <v>11767.42842876765</v>
      </c>
      <c r="U5" s="105">
        <f>+'Financial Statement Forecast'!U67</f>
        <v>12901.694095097937</v>
      </c>
      <c r="V5" s="105">
        <f>+'Financial Statement Forecast'!V67</f>
        <v>14048.633793333322</v>
      </c>
      <c r="W5" s="105">
        <f>+'Financial Statement Forecast'!W67</f>
        <v>15206.480623013182</v>
      </c>
    </row>
    <row r="7" spans="1:23" ht="12.75">
      <c r="A7" s="108" t="s">
        <v>196</v>
      </c>
      <c r="C7" s="105">
        <f>+'Financial Statement Forecast'!C56</f>
        <v>0</v>
      </c>
      <c r="D7" s="105">
        <f>+'Financial Statement Forecast'!D56</f>
        <v>9180</v>
      </c>
      <c r="E7" s="105">
        <f>+'Financial Statement Forecast'!E56</f>
        <v>9180</v>
      </c>
      <c r="F7" s="105">
        <f>+'Financial Statement Forecast'!F56</f>
        <v>9180</v>
      </c>
      <c r="G7" s="105">
        <f>+'Financial Statement Forecast'!G56</f>
        <v>9180</v>
      </c>
      <c r="H7" s="105">
        <f>+'Financial Statement Forecast'!H56</f>
        <v>9180</v>
      </c>
      <c r="I7" s="105">
        <f>+'Financial Statement Forecast'!I56</f>
        <v>9180</v>
      </c>
      <c r="J7" s="105">
        <f>+'Financial Statement Forecast'!J56</f>
        <v>9180</v>
      </c>
      <c r="K7" s="105">
        <f>+'Financial Statement Forecast'!K56</f>
        <v>9180</v>
      </c>
      <c r="L7" s="105">
        <f>+'Financial Statement Forecast'!L56</f>
        <v>9180</v>
      </c>
      <c r="M7" s="105">
        <f>+'Financial Statement Forecast'!M56</f>
        <v>9180</v>
      </c>
      <c r="N7" s="105">
        <f>+'Financial Statement Forecast'!N56</f>
        <v>9180</v>
      </c>
      <c r="O7" s="105">
        <f>+'Financial Statement Forecast'!O56</f>
        <v>9180</v>
      </c>
      <c r="P7" s="105">
        <f>+'Financial Statement Forecast'!P56</f>
        <v>9180</v>
      </c>
      <c r="Q7" s="105">
        <f>+'Financial Statement Forecast'!Q56</f>
        <v>9180</v>
      </c>
      <c r="R7" s="105">
        <f>+'Financial Statement Forecast'!R56</f>
        <v>12852</v>
      </c>
      <c r="S7" s="105">
        <f>+'Financial Statement Forecast'!S56</f>
        <v>12852</v>
      </c>
      <c r="T7" s="105">
        <f>+'Financial Statement Forecast'!T56</f>
        <v>12852</v>
      </c>
      <c r="U7" s="105">
        <f>+'Financial Statement Forecast'!U56</f>
        <v>12852</v>
      </c>
      <c r="V7" s="105">
        <f>+'Financial Statement Forecast'!V56</f>
        <v>12852</v>
      </c>
      <c r="W7" s="105">
        <f>+'Financial Statement Forecast'!W56</f>
        <v>12852</v>
      </c>
    </row>
    <row r="9" spans="1:23" s="107" customFormat="1" ht="12.75">
      <c r="A9" s="107" t="s">
        <v>206</v>
      </c>
      <c r="C9" s="107">
        <f>+C7+C5</f>
        <v>0</v>
      </c>
      <c r="D9" s="107">
        <f aca="true" t="shared" si="0" ref="D9:W9">+D7+D5</f>
        <v>-240.35449999999764</v>
      </c>
      <c r="E9" s="107">
        <f t="shared" si="0"/>
        <v>11012.5939845375</v>
      </c>
      <c r="F9" s="107">
        <f t="shared" si="0"/>
        <v>11455.337907519377</v>
      </c>
      <c r="G9" s="107">
        <f t="shared" si="0"/>
        <v>11906.1108367462</v>
      </c>
      <c r="H9" s="107">
        <f t="shared" si="0"/>
        <v>12367.128582570629</v>
      </c>
      <c r="I9" s="107">
        <f t="shared" si="0"/>
        <v>12837.649107851037</v>
      </c>
      <c r="J9" s="107">
        <f t="shared" si="0"/>
        <v>13857.892429654024</v>
      </c>
      <c r="K9" s="107">
        <f t="shared" si="0"/>
        <v>14668.100512253946</v>
      </c>
      <c r="L9" s="107">
        <f t="shared" si="0"/>
        <v>15707.517150956537</v>
      </c>
      <c r="M9" s="107">
        <f t="shared" si="0"/>
        <v>16756.36784625137</v>
      </c>
      <c r="N9" s="107">
        <f t="shared" si="0"/>
        <v>17814.919667775026</v>
      </c>
      <c r="O9" s="107">
        <f t="shared" si="0"/>
        <v>18885.401107542322</v>
      </c>
      <c r="P9" s="107">
        <f t="shared" si="0"/>
        <v>19966.061921878165</v>
      </c>
      <c r="Q9" s="107">
        <f t="shared" si="0"/>
        <v>21278.142961455967</v>
      </c>
      <c r="R9" s="107">
        <f t="shared" si="0"/>
        <v>22380.895988821343</v>
      </c>
      <c r="S9" s="107">
        <f t="shared" si="0"/>
        <v>23494.573482751104</v>
      </c>
      <c r="T9" s="107">
        <f t="shared" si="0"/>
        <v>24619.42842876765</v>
      </c>
      <c r="U9" s="107">
        <f t="shared" si="0"/>
        <v>25753.694095097937</v>
      </c>
      <c r="V9" s="107">
        <f t="shared" si="0"/>
        <v>26900.63379333332</v>
      </c>
      <c r="W9" s="107">
        <f t="shared" si="0"/>
        <v>28058.48062301318</v>
      </c>
    </row>
    <row r="11" ht="12.75">
      <c r="A11" s="107" t="s">
        <v>198</v>
      </c>
    </row>
    <row r="13" ht="12.75">
      <c r="A13" s="109" t="s">
        <v>199</v>
      </c>
    </row>
    <row r="15" spans="1:3" ht="12.75">
      <c r="A15" s="108" t="s">
        <v>200</v>
      </c>
      <c r="C15" s="105">
        <v>172600</v>
      </c>
    </row>
    <row r="16" spans="1:3" ht="12.75">
      <c r="A16" s="108" t="s">
        <v>201</v>
      </c>
      <c r="C16" s="105">
        <v>11000</v>
      </c>
    </row>
    <row r="18" spans="1:23" ht="12.75">
      <c r="A18" s="108" t="s">
        <v>202</v>
      </c>
      <c r="C18" s="105">
        <f>SUM(C15:C17)</f>
        <v>183600</v>
      </c>
      <c r="D18" s="105">
        <f aca="true" t="shared" si="1" ref="D18:W18">SUM(D15:D17)</f>
        <v>0</v>
      </c>
      <c r="E18" s="105">
        <f t="shared" si="1"/>
        <v>0</v>
      </c>
      <c r="F18" s="105">
        <f t="shared" si="1"/>
        <v>0</v>
      </c>
      <c r="G18" s="105">
        <f t="shared" si="1"/>
        <v>0</v>
      </c>
      <c r="H18" s="105">
        <f t="shared" si="1"/>
        <v>0</v>
      </c>
      <c r="I18" s="105">
        <f t="shared" si="1"/>
        <v>0</v>
      </c>
      <c r="J18" s="105">
        <f t="shared" si="1"/>
        <v>0</v>
      </c>
      <c r="K18" s="105">
        <f t="shared" si="1"/>
        <v>0</v>
      </c>
      <c r="L18" s="105">
        <f t="shared" si="1"/>
        <v>0</v>
      </c>
      <c r="M18" s="105">
        <f t="shared" si="1"/>
        <v>0</v>
      </c>
      <c r="N18" s="105">
        <f t="shared" si="1"/>
        <v>0</v>
      </c>
      <c r="O18" s="105">
        <f t="shared" si="1"/>
        <v>0</v>
      </c>
      <c r="P18" s="105">
        <f t="shared" si="1"/>
        <v>0</v>
      </c>
      <c r="Q18" s="105">
        <f t="shared" si="1"/>
        <v>0</v>
      </c>
      <c r="R18" s="105">
        <f t="shared" si="1"/>
        <v>0</v>
      </c>
      <c r="S18" s="105">
        <f t="shared" si="1"/>
        <v>0</v>
      </c>
      <c r="T18" s="105">
        <f t="shared" si="1"/>
        <v>0</v>
      </c>
      <c r="U18" s="105">
        <f t="shared" si="1"/>
        <v>0</v>
      </c>
      <c r="V18" s="105">
        <f t="shared" si="1"/>
        <v>0</v>
      </c>
      <c r="W18" s="105">
        <f t="shared" si="1"/>
        <v>0</v>
      </c>
    </row>
    <row r="20" spans="1:23" ht="12.75">
      <c r="A20" s="108" t="s">
        <v>203</v>
      </c>
      <c r="C20" s="105">
        <f>+C9-C18</f>
        <v>-183600</v>
      </c>
      <c r="D20" s="105">
        <f aca="true" t="shared" si="2" ref="D20:W20">+D9-D18</f>
        <v>-240.35449999999764</v>
      </c>
      <c r="E20" s="105">
        <f t="shared" si="2"/>
        <v>11012.5939845375</v>
      </c>
      <c r="F20" s="105">
        <f t="shared" si="2"/>
        <v>11455.337907519377</v>
      </c>
      <c r="G20" s="105">
        <f t="shared" si="2"/>
        <v>11906.1108367462</v>
      </c>
      <c r="H20" s="105">
        <f t="shared" si="2"/>
        <v>12367.128582570629</v>
      </c>
      <c r="I20" s="105">
        <f t="shared" si="2"/>
        <v>12837.649107851037</v>
      </c>
      <c r="J20" s="105">
        <f t="shared" si="2"/>
        <v>13857.892429654024</v>
      </c>
      <c r="K20" s="105">
        <f t="shared" si="2"/>
        <v>14668.100512253946</v>
      </c>
      <c r="L20" s="105">
        <f t="shared" si="2"/>
        <v>15707.517150956537</v>
      </c>
      <c r="M20" s="105">
        <f t="shared" si="2"/>
        <v>16756.36784625137</v>
      </c>
      <c r="N20" s="105">
        <f t="shared" si="2"/>
        <v>17814.919667775026</v>
      </c>
      <c r="O20" s="105">
        <f t="shared" si="2"/>
        <v>18885.401107542322</v>
      </c>
      <c r="P20" s="105">
        <f t="shared" si="2"/>
        <v>19966.061921878165</v>
      </c>
      <c r="Q20" s="105">
        <f t="shared" si="2"/>
        <v>21278.142961455967</v>
      </c>
      <c r="R20" s="105">
        <f t="shared" si="2"/>
        <v>22380.895988821343</v>
      </c>
      <c r="S20" s="105">
        <f t="shared" si="2"/>
        <v>23494.573482751104</v>
      </c>
      <c r="T20" s="105">
        <f t="shared" si="2"/>
        <v>24619.42842876765</v>
      </c>
      <c r="U20" s="105">
        <f t="shared" si="2"/>
        <v>25753.694095097937</v>
      </c>
      <c r="V20" s="105">
        <f t="shared" si="2"/>
        <v>26900.63379333332</v>
      </c>
      <c r="W20" s="105">
        <f t="shared" si="2"/>
        <v>28058.48062301318</v>
      </c>
    </row>
    <row r="22" spans="1:23" ht="12.75">
      <c r="A22" s="108" t="s">
        <v>204</v>
      </c>
      <c r="C22" s="105">
        <v>0</v>
      </c>
      <c r="D22" s="105">
        <f>+C24</f>
        <v>-183600</v>
      </c>
      <c r="E22" s="105">
        <f aca="true" t="shared" si="3" ref="E22:W22">+D24</f>
        <v>-183840.3545</v>
      </c>
      <c r="F22" s="105">
        <f t="shared" si="3"/>
        <v>-172827.7605154625</v>
      </c>
      <c r="G22" s="105">
        <f t="shared" si="3"/>
        <v>-161372.42260794312</v>
      </c>
      <c r="H22" s="105">
        <f t="shared" si="3"/>
        <v>-149466.31177119692</v>
      </c>
      <c r="I22" s="105">
        <f t="shared" si="3"/>
        <v>-137099.1831886263</v>
      </c>
      <c r="J22" s="105">
        <f t="shared" si="3"/>
        <v>-124261.53408077528</v>
      </c>
      <c r="K22" s="105">
        <f t="shared" si="3"/>
        <v>-110403.64165112126</v>
      </c>
      <c r="L22" s="105">
        <f t="shared" si="3"/>
        <v>-95735.54113886731</v>
      </c>
      <c r="M22" s="105">
        <f t="shared" si="3"/>
        <v>-80028.02398791077</v>
      </c>
      <c r="N22" s="105">
        <f t="shared" si="3"/>
        <v>-63271.6561416594</v>
      </c>
      <c r="O22" s="105">
        <f t="shared" si="3"/>
        <v>-45456.736473884375</v>
      </c>
      <c r="P22" s="105">
        <f t="shared" si="3"/>
        <v>-26571.335366342053</v>
      </c>
      <c r="Q22" s="105">
        <f t="shared" si="3"/>
        <v>-6605.273444463888</v>
      </c>
      <c r="R22" s="105">
        <f t="shared" si="3"/>
        <v>14672.86951699208</v>
      </c>
      <c r="S22" s="105">
        <f t="shared" si="3"/>
        <v>37053.765505813426</v>
      </c>
      <c r="T22" s="105">
        <f t="shared" si="3"/>
        <v>60548.33898856453</v>
      </c>
      <c r="U22" s="105">
        <f t="shared" si="3"/>
        <v>85167.76741733219</v>
      </c>
      <c r="V22" s="105">
        <f t="shared" si="3"/>
        <v>110921.46151243012</v>
      </c>
      <c r="W22" s="105">
        <f t="shared" si="3"/>
        <v>137822.09530576345</v>
      </c>
    </row>
    <row r="24" spans="1:23" ht="12.75">
      <c r="A24" s="108" t="s">
        <v>197</v>
      </c>
      <c r="C24" s="105">
        <f>+C20+C22</f>
        <v>-183600</v>
      </c>
      <c r="D24" s="105">
        <f>+D20+D22</f>
        <v>-183840.3545</v>
      </c>
      <c r="E24" s="105">
        <f aca="true" t="shared" si="4" ref="E24:W24">+E20+E22</f>
        <v>-172827.7605154625</v>
      </c>
      <c r="F24" s="105">
        <f t="shared" si="4"/>
        <v>-161372.42260794312</v>
      </c>
      <c r="G24" s="105">
        <f t="shared" si="4"/>
        <v>-149466.31177119692</v>
      </c>
      <c r="H24" s="105">
        <f t="shared" si="4"/>
        <v>-137099.1831886263</v>
      </c>
      <c r="I24" s="105">
        <f t="shared" si="4"/>
        <v>-124261.53408077528</v>
      </c>
      <c r="J24" s="105">
        <f t="shared" si="4"/>
        <v>-110403.64165112126</v>
      </c>
      <c r="K24" s="105">
        <f t="shared" si="4"/>
        <v>-95735.54113886731</v>
      </c>
      <c r="L24" s="105">
        <f t="shared" si="4"/>
        <v>-80028.02398791077</v>
      </c>
      <c r="M24" s="105">
        <f t="shared" si="4"/>
        <v>-63271.6561416594</v>
      </c>
      <c r="N24" s="105">
        <f t="shared" si="4"/>
        <v>-45456.736473884375</v>
      </c>
      <c r="O24" s="105">
        <f t="shared" si="4"/>
        <v>-26571.335366342053</v>
      </c>
      <c r="P24" s="105">
        <f t="shared" si="4"/>
        <v>-6605.273444463888</v>
      </c>
      <c r="Q24" s="105">
        <f t="shared" si="4"/>
        <v>14672.86951699208</v>
      </c>
      <c r="R24" s="105">
        <f t="shared" si="4"/>
        <v>37053.765505813426</v>
      </c>
      <c r="S24" s="105">
        <f t="shared" si="4"/>
        <v>60548.33898856453</v>
      </c>
      <c r="T24" s="105">
        <f t="shared" si="4"/>
        <v>85167.76741733219</v>
      </c>
      <c r="U24" s="105">
        <f t="shared" si="4"/>
        <v>110921.46151243012</v>
      </c>
      <c r="V24" s="105">
        <f t="shared" si="4"/>
        <v>137822.09530576345</v>
      </c>
      <c r="W24" s="105">
        <f t="shared" si="4"/>
        <v>165880.57592877664</v>
      </c>
    </row>
    <row r="26" spans="1:23" s="107" customFormat="1" ht="12.75">
      <c r="A26" s="107" t="s">
        <v>194</v>
      </c>
      <c r="C26" s="107">
        <f>IF(C24&gt;0,C24*0.2,0)</f>
        <v>0</v>
      </c>
      <c r="D26" s="107">
        <f>IF(D24&gt;0,D24*0.2,0)-SUM(($C26:C26))</f>
        <v>0</v>
      </c>
      <c r="E26" s="107">
        <f>IF(E24&gt;0,E24*0.2,0)-SUM(($C26:D26))</f>
        <v>0</v>
      </c>
      <c r="F26" s="107">
        <f>IF(F24&gt;0,F24*0.2,0)-SUM(($C26:E26))</f>
        <v>0</v>
      </c>
      <c r="G26" s="107">
        <f>IF(G24&gt;0,G24*0.2,0)-SUM(($C26:F26))</f>
        <v>0</v>
      </c>
      <c r="H26" s="107">
        <f>IF(H24&gt;0,H24*0.2,0)-SUM(($C26:G26))</f>
        <v>0</v>
      </c>
      <c r="I26" s="107">
        <f>IF(I24&gt;0,I24*0.2,0)-SUM(($C26:H26))</f>
        <v>0</v>
      </c>
      <c r="J26" s="107">
        <f>IF(J24&gt;0,J24*0.2,0)-SUM(($C26:I26))</f>
        <v>0</v>
      </c>
      <c r="K26" s="107">
        <f>IF(K24&gt;0,K24*0.2,0)-SUM(($C26:J26))</f>
        <v>0</v>
      </c>
      <c r="L26" s="107">
        <f>IF(L24&gt;0,L24*0.2,0)-SUM(($C26:K26))</f>
        <v>0</v>
      </c>
      <c r="M26" s="107">
        <f>IF(M24&gt;0,M24*0.2,0)-SUM(($C26:L26))</f>
        <v>0</v>
      </c>
      <c r="N26" s="107">
        <f>IF(N24&gt;0,N24*0.2,0)-SUM(($C26:M26))</f>
        <v>0</v>
      </c>
      <c r="O26" s="107">
        <f>IF(O24&gt;0,O24*0.2,0)-SUM(($C26:N26))</f>
        <v>0</v>
      </c>
      <c r="P26" s="107">
        <f>IF(P24&gt;0,P24*0.2,0)-SUM(($C26:O26))</f>
        <v>0</v>
      </c>
      <c r="Q26" s="107">
        <f>IF(Q24&gt;0,Q24*0.2,0)-SUM(($C26:P26))</f>
        <v>2934.573903398416</v>
      </c>
      <c r="R26" s="107">
        <f>IF(R24&gt;0,R24*0.2,0)-SUM(($C26:Q26))</f>
        <v>4476.17919776427</v>
      </c>
      <c r="S26" s="107">
        <f>IF(S24&gt;0,S24*0.2,0)-SUM(($C26:R26))</f>
        <v>4698.914696550222</v>
      </c>
      <c r="T26" s="107">
        <f>IF(T24&gt;0,T24*0.2,0)-SUM(($C26:S26))</f>
        <v>4923.885685753532</v>
      </c>
      <c r="U26" s="107">
        <f>IF(U24&gt;0,U24*0.2,0)-SUM(($C26:T26))</f>
        <v>5150.738819019585</v>
      </c>
      <c r="V26" s="107">
        <f>IF(V24&gt;0,V24*0.2,0)-SUM(($C26:U26))</f>
        <v>5380.126758666665</v>
      </c>
      <c r="W26" s="107">
        <f>IF(W24&gt;0,W24*0.2,0)-SUM(($C26:V26))</f>
        <v>5611.696124602637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Averill</dc:creator>
  <cp:keywords/>
  <dc:description/>
  <cp:lastModifiedBy>DMarsdon</cp:lastModifiedBy>
  <cp:lastPrinted>2015-10-08T13:15:17Z</cp:lastPrinted>
  <dcterms:created xsi:type="dcterms:W3CDTF">1996-10-14T23:33:28Z</dcterms:created>
  <dcterms:modified xsi:type="dcterms:W3CDTF">2015-10-12T08:13:51Z</dcterms:modified>
  <cp:category/>
  <cp:version/>
  <cp:contentType/>
  <cp:contentStatus/>
</cp:coreProperties>
</file>